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575" windowHeight="8325" tabRatio="882" activeTab="0"/>
  </bookViews>
  <sheets>
    <sheet name="Westar Energy" sheetId="1" r:id="rId1"/>
    <sheet name="WEN" sheetId="2" r:id="rId2"/>
    <sheet name="WES" sheetId="3" r:id="rId3"/>
    <sheet name="Account 456 Analysis" sheetId="4" r:id="rId4"/>
  </sheets>
  <definedNames>
    <definedName name="_xlnm.Print_Area" localSheetId="3">'Account 456 Analysis'!$B$1:$V$52</definedName>
    <definedName name="_xlnm.Print_Area" localSheetId="1">'WEN'!$A$1:$L$363</definedName>
    <definedName name="_xlnm.Print_Area" localSheetId="2">'WES'!$A$1:$M$363</definedName>
    <definedName name="_xlnm.Print_Area" localSheetId="0">'Westar Energy'!$A$1:$L$85</definedName>
    <definedName name="_xlnm.Print_Titles" localSheetId="3">'Account 456 Analysis'!$B:$D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<sst xmlns="http://schemas.openxmlformats.org/spreadsheetml/2006/main" count="1247" uniqueCount="512">
  <si>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</si>
  <si>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</si>
  <si>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</si>
  <si>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</si>
  <si>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</si>
  <si>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</si>
  <si>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</si>
  <si>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</si>
  <si>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</si>
  <si>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</si>
  <si>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</si>
  <si>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>TP</t>
  </si>
  <si>
    <t xml:space="preserve">  Account No. 454</t>
  </si>
  <si>
    <t xml:space="preserve">  Account No. 456</t>
  </si>
  <si>
    <t>NET REVENUE REQUIREMENT</t>
  </si>
  <si>
    <t xml:space="preserve">DIVISOR </t>
  </si>
  <si>
    <t>(Note A)</t>
  </si>
  <si>
    <t>(Note B)</t>
  </si>
  <si>
    <t>(Note C)</t>
  </si>
  <si>
    <t>(Note D)</t>
  </si>
  <si>
    <t>Annual Cost ($/kW/Yr)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</si>
  <si>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</si>
  <si>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</si>
  <si>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</si>
  <si>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</si>
  <si>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</si>
  <si>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</si>
  <si>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</si>
  <si>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</si>
  <si>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</si>
  <si>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FERC Annual Charge($/MWh)</t>
  </si>
  <si>
    <t>.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</si>
  <si>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</si>
  <si>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</si>
  <si>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</si>
  <si>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</si>
  <si>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</si>
  <si>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</si>
  <si>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</si>
  <si>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</si>
  <si>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</si>
  <si>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</si>
  <si>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</si>
  <si>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</si>
  <si>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</si>
  <si>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</si>
  <si>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</si>
  <si>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</si>
  <si>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</si>
  <si>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</si>
  <si>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</si>
  <si>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</si>
  <si>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</si>
  <si>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</si>
  <si>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</si>
  <si>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</si>
  <si>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</si>
  <si>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</si>
  <si>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</si>
  <si>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</si>
  <si>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</si>
  <si>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</si>
  <si>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</si>
  <si>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</si>
  <si>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</si>
  <si>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</si>
  <si>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</si>
  <si>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275.2.k</t>
  </si>
  <si>
    <t>277.9.k</t>
  </si>
  <si>
    <t>234.8.c</t>
  </si>
  <si>
    <t>267.h.8</t>
  </si>
  <si>
    <t xml:space="preserve">LAND HELD FOR FUTURE USE </t>
  </si>
  <si>
    <t>214.x.d  (Note G)</t>
  </si>
  <si>
    <t xml:space="preserve">  Materials &amp; Supplies  (Note G)</t>
  </si>
  <si>
    <t>TE</t>
  </si>
  <si>
    <t>GP</t>
  </si>
  <si>
    <t>TOTAL WORKING CAPITAL (sum lines 26 - 28)</t>
  </si>
  <si>
    <t>O&amp;M</t>
  </si>
  <si>
    <t>321.100.b</t>
  </si>
  <si>
    <t xml:space="preserve">     Less Account 565</t>
  </si>
  <si>
    <t>321.88.b</t>
  </si>
  <si>
    <t xml:space="preserve">  A&amp;G</t>
  </si>
  <si>
    <t>323.168.b</t>
  </si>
  <si>
    <t xml:space="preserve">     Less FERC Annual Fees</t>
  </si>
  <si>
    <t xml:space="preserve">  Transmission Lease Payments</t>
  </si>
  <si>
    <t>DEPRECIATION EXPENSE</t>
  </si>
  <si>
    <t>336.7.b</t>
  </si>
  <si>
    <t xml:space="preserve">  General </t>
  </si>
  <si>
    <t xml:space="preserve">336.9.b </t>
  </si>
  <si>
    <t>336.10.b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</si>
  <si>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</si>
  <si>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</si>
  <si>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</si>
  <si>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</si>
  <si>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</si>
  <si>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</si>
  <si>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</si>
  <si>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</si>
  <si>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</si>
  <si>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</si>
  <si>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</si>
  <si>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</si>
  <si>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</si>
  <si>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RETURN </t>
  </si>
  <si>
    <t xml:space="preserve">  [ Rate Base (page 2, line 30) * Rate of Return (page 4, line 30)]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</si>
  <si>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</si>
  <si>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</si>
  <si>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</si>
  <si>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1 less line 2)</t>
  </si>
  <si>
    <t>Percentage of transmission expenses after adjustment (line 3 divided by line 1)</t>
  </si>
  <si>
    <t>Percentage of transmission plant included in ISO Rates (line 11)</t>
  </si>
  <si>
    <t>Percentage of transmission expenses included in ISO Rates (line 4 times line 5)</t>
  </si>
  <si>
    <t>TE=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</si>
  <si>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</si>
  <si>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</si>
  <si>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</si>
  <si>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7 less lines 8 &amp; 9)</t>
  </si>
  <si>
    <t>Percentage of transmission plant included in ISO Rates (line 10 divided by line 7)</t>
  </si>
  <si>
    <t>TP=</t>
  </si>
  <si>
    <t>WAGES &amp; SALARY ALLOCATOR   (W&amp;S)</t>
  </si>
  <si>
    <t>Form 1 Reference</t>
  </si>
  <si>
    <t>$</t>
  </si>
  <si>
    <t>Allocation</t>
  </si>
  <si>
    <t>354.18.b</t>
  </si>
  <si>
    <t>354.19.b</t>
  </si>
  <si>
    <t>354.20.b</t>
  </si>
  <si>
    <t>W&amp;S Allocator</t>
  </si>
  <si>
    <t xml:space="preserve">  Other</t>
  </si>
  <si>
    <t>354.21,22,23.b</t>
  </si>
  <si>
    <t>($ / Allocation)</t>
  </si>
  <si>
    <t>=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</si>
  <si>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</si>
  <si>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</si>
  <si>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</si>
  <si>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</si>
  <si>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</si>
  <si>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</si>
  <si>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</si>
  <si>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</si>
  <si>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200.3.d</t>
  </si>
  <si>
    <t>*</t>
  </si>
  <si>
    <t xml:space="preserve">  Water</t>
  </si>
  <si>
    <t>200.3.e</t>
  </si>
  <si>
    <t>RETURN (R)</t>
  </si>
  <si>
    <t>Preferred Dividends (118.29c) (positive number)</t>
  </si>
  <si>
    <t xml:space="preserve">                                          Development of Common Stock:</t>
  </si>
  <si>
    <t>Common Stock</t>
  </si>
  <si>
    <t>(sum lines 23-25)</t>
  </si>
  <si>
    <t>Cost</t>
  </si>
  <si>
    <t>%</t>
  </si>
  <si>
    <t>(Note P)</t>
  </si>
  <si>
    <t>Weighted</t>
  </si>
  <si>
    <t>=WCLTD</t>
  </si>
  <si>
    <t xml:space="preserve">  Common Stock  (line 26)</t>
  </si>
  <si>
    <t>=R</t>
  </si>
  <si>
    <t>REVENUE CREDITS</t>
  </si>
  <si>
    <t>ACCOUNT 447 (SALES FOR RESALE)</t>
  </si>
  <si>
    <t>(310-311)</t>
  </si>
  <si>
    <t>(Note Q)</t>
  </si>
  <si>
    <t xml:space="preserve">  Total of (a)-(b)</t>
  </si>
  <si>
    <t>ACCOUNT 456 (OTHER ELECTRIC REVENUES)</t>
  </si>
  <si>
    <t xml:space="preserve">  a. Transmission charges for all transmission transactions 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</si>
  <si>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</si>
  <si>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</si>
  <si>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</si>
  <si>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</si>
  <si>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</si>
  <si>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</si>
  <si>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</si>
  <si>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</si>
  <si>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</si>
  <si>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</si>
  <si>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 xml:space="preserve">The balances in Accounts 190, 281, 282 and 283, as adjusted by any amounts in contra accounts identified as regulatory assets 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</si>
  <si>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</si>
  <si>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</si>
  <si>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</si>
  <si>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</si>
  <si>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>I</t>
  </si>
  <si>
    <t>J</t>
  </si>
  <si>
    <t>Includes only FICA, unemployment, highway, property, gross receipts, and other assessments charged in the current year.</t>
  </si>
  <si>
    <t>K</t>
  </si>
  <si>
    <t>L</t>
  </si>
  <si>
    <t>M</t>
  </si>
  <si>
    <t>N</t>
  </si>
  <si>
    <t>O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</si>
  <si>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</si>
  <si>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</si>
  <si>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</si>
  <si>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</si>
  <si>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</si>
  <si>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R</t>
  </si>
  <si>
    <t>TOTAL REVENUE CREDITS  (sum lines 2-5)</t>
  </si>
  <si>
    <t xml:space="preserve">Network &amp; P-to-P Rate ($/kW/Mo) 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</si>
  <si>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</si>
  <si>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</si>
  <si>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</si>
  <si>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</si>
  <si>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</si>
  <si>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>RATE BASE  (sum lines 18, 24, 25, &amp; 29)</t>
  </si>
  <si>
    <t>The currently effective income tax rate,  where FIT is the Federal income tax rate; SIT is the State income tax rate, and p =</t>
  </si>
  <si>
    <t xml:space="preserve">  a. Bundled Non-RQ Sales for Resale (311.x.h)</t>
  </si>
  <si>
    <t xml:space="preserve">  Revenues from Grandfathered Interzonal Transactions</t>
  </si>
  <si>
    <t xml:space="preserve">  Revenues from service provided by the ISO at a discount</t>
  </si>
  <si>
    <t>Divisor (sum lines 8-14)</t>
  </si>
  <si>
    <t>(line 7 / line 15)</t>
  </si>
  <si>
    <t>(line 16 / 12)</t>
  </si>
  <si>
    <t>(line 16 / 52; line 16 / 52)</t>
  </si>
  <si>
    <t>(line 18 / 5; line 18 / 7)</t>
  </si>
  <si>
    <t>(line 19 / 16; line 19 / 24</t>
  </si>
  <si>
    <t>Total Income Taxes</t>
  </si>
  <si>
    <t xml:space="preserve">  Total  (sum lines 17 - 19)</t>
  </si>
  <si>
    <t>Load</t>
  </si>
  <si>
    <t>Line 33 must equal zero since all short-term power sales must be unbundled and the transmission component reflected in Account</t>
  </si>
  <si>
    <t>GROSS REVENUE REQUIREMENT    (page 3, line 28)</t>
  </si>
  <si>
    <t>(page 4, line 34)</t>
  </si>
  <si>
    <t>(page 4, line 37)</t>
  </si>
  <si>
    <t xml:space="preserve">  Plus 12 CP of firm bundled sales over one year not in line 8</t>
  </si>
  <si>
    <t xml:space="preserve">  Plus 12 CP of Network Load not in line 8</t>
  </si>
  <si>
    <t>(line 1 minus line 6)</t>
  </si>
  <si>
    <t xml:space="preserve">  or liabilities related to FASB 106 or 109.  Balance of Account 255 is reduced by prior flow throughs and excluded if the utility </t>
  </si>
  <si>
    <t xml:space="preserve">  Prepayments are the electric related prepayments booked to Account No. 165 and reported on Pages 100-111 line 46 in the Form 1.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</si>
  <si>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</si>
  <si>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</si>
  <si>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</si>
  <si>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No. 456 and all other uses are to be included in the divisor.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</si>
  <si>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</si>
  <si>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</si>
  <si>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</si>
  <si>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</si>
  <si>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</si>
  <si>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</si>
  <si>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</si>
  <si>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</si>
  <si>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>Amortized Investment Tax Credit (266.8f) (enter negative)</t>
  </si>
  <si>
    <t xml:space="preserve">      1 / (1 - T)  = (from line 21)</t>
  </si>
  <si>
    <t xml:space="preserve">       and FIT, SIT &amp; p are as given in footnote K.</t>
  </si>
  <si>
    <t>Income Tax Calculation = line 22 * line 28</t>
  </si>
  <si>
    <t>REV. REQUIREMENT  (sum lines 8, 12, 20, 27, 28)</t>
  </si>
  <si>
    <t xml:space="preserve">       where WCLTD=(page 4, line 27) and R= (page 4, line30)</t>
  </si>
  <si>
    <t xml:space="preserve">         Inputs Required:</t>
  </si>
  <si>
    <t xml:space="preserve">  multiplied by (1/1-T) (page 3, line 26).</t>
  </si>
  <si>
    <t>ITC adjustment (line 23 * line 24)</t>
  </si>
  <si>
    <t>(line 25 plus line 26)</t>
  </si>
  <si>
    <t>calculated</t>
  </si>
  <si>
    <t>WS</t>
  </si>
  <si>
    <t xml:space="preserve">  Less Contract Demands from service over one year provided by ISO at a discount (enter negative)</t>
  </si>
  <si>
    <t>WORKING CAPITAL  (Note H)</t>
  </si>
  <si>
    <t xml:space="preserve">  CWC  </t>
  </si>
  <si>
    <t>Total  (sum lines 27-29)</t>
  </si>
  <si>
    <t xml:space="preserve">  b. Transmission charges for all transmission transactions included in Divisor on Page 1</t>
  </si>
  <si>
    <t xml:space="preserve">  b. Bundled Sales for Resale  included in Divisor on page 1</t>
  </si>
  <si>
    <t>Enter dollar amounts</t>
  </si>
  <si>
    <t xml:space="preserve">  Total  (sum lines 12-15)</t>
  </si>
  <si>
    <t>Removes dollar amount of transmission plant included in the development of OATT ancillary services rates and generation</t>
  </si>
  <si>
    <t xml:space="preserve">Less Preferred Stock (line 28) </t>
  </si>
  <si>
    <t xml:space="preserve">  Less Contract Demand from Grandfathered Interzonal Transactions over one year (enter negative) (Note S)</t>
  </si>
  <si>
    <t>5a</t>
  </si>
  <si>
    <t xml:space="preserve">     Plus Transmission Related Reg. Comm.  Exp. (Note I)</t>
  </si>
  <si>
    <t>zero</t>
  </si>
  <si>
    <t xml:space="preserve">The FERC's annual charges for the year assessed the Transmission Owner for service under this tariff. </t>
  </si>
  <si>
    <t>S</t>
  </si>
  <si>
    <t>Grandfathered agreements whose rates have been changed to eliminate or mitigate pancaking - the revenues are included in line 4 page 1</t>
  </si>
  <si>
    <t>TOTAL O&amp;M   (sum lines 1, 3, 5a, 6, 7 less lines 2, 4, 5)</t>
  </si>
  <si>
    <t xml:space="preserve">     Less EPRI &amp; Reg. Comm. Exp. &amp; Non-safety  Ad. (Note I)</t>
  </si>
  <si>
    <t xml:space="preserve">   ISO filings, or transmission siting itemized at 351.h. </t>
  </si>
  <si>
    <t>Removes dollar amount of transmission expenses included in the OATT ancillary services rates, including all of Account No. 561.</t>
  </si>
  <si>
    <t xml:space="preserve">  chose to utilize amortization of tax credits against taxable income as discussed in Note K.  Account 281 is not allocated.</t>
  </si>
  <si>
    <t>(Note T)</t>
  </si>
  <si>
    <t>T</t>
  </si>
  <si>
    <t>The revenues credited on page 1 lines 2-5 shall include only the amounts received directly (in the case of grandfathered agreements)</t>
  </si>
  <si>
    <t>For the 12 months ended 12/31/04</t>
  </si>
  <si>
    <t>(WEN)</t>
  </si>
  <si>
    <t>WESTAR ENERGY, INC.</t>
  </si>
  <si>
    <t>(WES)</t>
  </si>
  <si>
    <t>2004 Form 1, Ferc 3-Q Yearly Summary and Support:  Account 456 Only</t>
  </si>
  <si>
    <t>FERC ACCOUNT SUMMARY</t>
  </si>
  <si>
    <t>Company</t>
  </si>
  <si>
    <t>WESTAR</t>
  </si>
  <si>
    <t>TOTAL</t>
  </si>
  <si>
    <t>CMCPH</t>
  </si>
  <si>
    <t>KCPL</t>
  </si>
  <si>
    <t>MIDW</t>
  </si>
  <si>
    <t>MOPEP</t>
  </si>
  <si>
    <t>OMPA</t>
  </si>
  <si>
    <t>SWPP</t>
  </si>
  <si>
    <t>SWPP Studies</t>
  </si>
  <si>
    <t>WR Altamont</t>
  </si>
  <si>
    <t>KVE</t>
  </si>
  <si>
    <t>NMEC</t>
  </si>
  <si>
    <t>KEPCO</t>
  </si>
  <si>
    <t>CBURL</t>
  </si>
  <si>
    <t>CCHAN</t>
  </si>
  <si>
    <t>CMULV</t>
  </si>
  <si>
    <t>CNEOD</t>
  </si>
  <si>
    <t>CWINF</t>
  </si>
  <si>
    <t>456.0000</t>
  </si>
  <si>
    <t>Transmission Service</t>
  </si>
  <si>
    <t>456.5000</t>
  </si>
  <si>
    <t>Anc 1</t>
  </si>
  <si>
    <t>456.5100</t>
  </si>
  <si>
    <t>Anc 2 - 80%</t>
  </si>
  <si>
    <t>456.8100</t>
  </si>
  <si>
    <t>Anc 2 - 20%</t>
  </si>
  <si>
    <t>456.8200</t>
  </si>
  <si>
    <t>Anc 3</t>
  </si>
  <si>
    <t>456.8400</t>
  </si>
  <si>
    <t>Anc 5</t>
  </si>
  <si>
    <t>456.8500</t>
  </si>
  <si>
    <t>Anc 6</t>
  </si>
  <si>
    <t>456.5200</t>
  </si>
  <si>
    <t>Facilities</t>
  </si>
  <si>
    <t>456.5003</t>
  </si>
  <si>
    <t>Trans Studies</t>
  </si>
  <si>
    <t>456.8600</t>
  </si>
  <si>
    <t>SPP Losses/MIDW Cntrl</t>
  </si>
  <si>
    <t>Less: Accounts 456.5 through 456.86</t>
  </si>
  <si>
    <t xml:space="preserve">         Revenue for Demands in Divisor</t>
  </si>
  <si>
    <t>Revenue Credit</t>
  </si>
  <si>
    <t>Demand for Line 15 of Divisor</t>
  </si>
  <si>
    <t>WEN (KPL)</t>
  </si>
  <si>
    <t>WES (KGE)</t>
  </si>
  <si>
    <t>Balance at End of Year</t>
  </si>
  <si>
    <t>Revenue Credits</t>
  </si>
  <si>
    <t>Divisor (kW) (Note C)</t>
  </si>
  <si>
    <t>Excluded:</t>
  </si>
  <si>
    <t>Account No. 456 not in lns 7-8</t>
  </si>
  <si>
    <t>n/a</t>
  </si>
  <si>
    <t>Ratio</t>
  </si>
  <si>
    <t>Page.    Line No.  Col.</t>
  </si>
  <si>
    <t>ADJUSTMENTS TO RATE BASE</t>
  </si>
  <si>
    <t>RETURN</t>
  </si>
  <si>
    <t>GROSS REVENUE REQUIREMENT  (page 3, line 28)</t>
  </si>
  <si>
    <t>(Note F)</t>
  </si>
  <si>
    <t>Development of Common Stock:</t>
  </si>
  <si>
    <t>277.9.k.</t>
  </si>
  <si>
    <t>Net Transmission</t>
  </si>
  <si>
    <t>(page 2, line 14, col 5)</t>
  </si>
  <si>
    <t>Facility Carrying Charge</t>
  </si>
  <si>
    <t>(line 7 divided by line 23)</t>
  </si>
  <si>
    <t>Included in template (p. 2 ln. 21)</t>
  </si>
  <si>
    <t>Included in template (p. 2 ln. 22)</t>
  </si>
  <si>
    <t xml:space="preserve">GROSS REVENUE REQUIREMENT </t>
  </si>
  <si>
    <t>Note T</t>
  </si>
  <si>
    <t xml:space="preserve">  Excluded:</t>
  </si>
  <si>
    <t>Distribution</t>
  </si>
  <si>
    <t>Account 456</t>
  </si>
  <si>
    <t>Worksheet WE-A</t>
  </si>
  <si>
    <t>Worksheet WEN-A</t>
  </si>
  <si>
    <t xml:space="preserve">  See worksheet WE-A.</t>
  </si>
  <si>
    <t>Exclude:</t>
  </si>
  <si>
    <t>Included in template (pg. 4 ln. 25)</t>
  </si>
  <si>
    <t>112.12.c</t>
  </si>
  <si>
    <t>Unappropriated Undistributed Subsidiary Earnings</t>
  </si>
  <si>
    <t>Only non-transmission related items included.  Determined by the ratio of pole attachments on transmission vs distribution.</t>
  </si>
  <si>
    <t>(Notes S &amp; T)</t>
  </si>
  <si>
    <t>(Note E)</t>
  </si>
  <si>
    <t xml:space="preserve">Account 283 Accum. Deferred IncomeTaxes-Other Total </t>
  </si>
  <si>
    <t>Account 190 Accum. Deferred Income Taxes -Elec</t>
  </si>
  <si>
    <t>Worksheet WES-A</t>
  </si>
  <si>
    <t>TRANSMISSION PLANT INCLUDED IN FORMULA</t>
  </si>
  <si>
    <t>Peak as reported on page 401, column d of Form 1.</t>
  </si>
  <si>
    <t>Labeled LF, LU, IF, IU on pages 310-311 of Form 1.</t>
  </si>
  <si>
    <t>Labeled LF on page 328 of Form 1.</t>
  </si>
  <si>
    <t xml:space="preserve">  Account No. 190 </t>
  </si>
  <si>
    <r>
      <t xml:space="preserve">  Account No.</t>
    </r>
    <r>
      <rPr>
        <b/>
        <sz val="12"/>
        <rFont val="Arial MT"/>
        <family val="0"/>
      </rPr>
      <t xml:space="preserve"> </t>
    </r>
    <r>
      <rPr>
        <sz val="12"/>
        <rFont val="Arial MT"/>
        <family val="0"/>
      </rPr>
      <t>255</t>
    </r>
    <r>
      <rPr>
        <b/>
        <sz val="12"/>
        <rFont val="Arial MT"/>
        <family val="0"/>
      </rPr>
      <t xml:space="preserve"> </t>
    </r>
    <r>
      <rPr>
        <sz val="12"/>
        <rFont val="Arial MT"/>
        <family val="0"/>
      </rPr>
      <t>(enter negative)</t>
    </r>
  </si>
  <si>
    <t xml:space="preserve">  Prepayments (Account 165)</t>
  </si>
  <si>
    <t>Line 5 - EPRI Annual Membership Dues listed in Form 1 at 353.f, all Regulatory Commission Expenses itemized at 351.h, and</t>
  </si>
  <si>
    <t xml:space="preserve">   Rate Formula Template, since they are recovered elsewhere.</t>
  </si>
  <si>
    <t xml:space="preserve">  Taxes related to income are excluded.  Gross receipts taxes are not included in transmission revenue requirement in the</t>
  </si>
  <si>
    <t xml:space="preserve">  (until Form 1 balances are adjusted to reflect application of seven-factor test).</t>
  </si>
  <si>
    <t>Removes transmission plant determined by Commission order to be state-jurisdictional according to the seven-factor test</t>
  </si>
  <si>
    <t xml:space="preserve">  (e.g., direct assignment facilities and GSUs) which are not recovered under this Rate Formula Template.</t>
  </si>
  <si>
    <t xml:space="preserve">  include revenues associated with FERC annual charges, gross receipts taxes, ancillary services, facilities not included in this template</t>
  </si>
  <si>
    <t xml:space="preserve">  or from the ISO (for service under this tariff) reflecting the Transmission Owner's integrated transmission facilities.  They do not</t>
  </si>
  <si>
    <t>Includes income related only to transmission facilities, such as pole attachments, rentals and special use.</t>
  </si>
  <si>
    <t>Included in template (p. 1 ln. 2)</t>
  </si>
  <si>
    <t>Account 454 (Rent from Electric Property)</t>
  </si>
  <si>
    <t>277.9.k [See WES-A]</t>
  </si>
  <si>
    <t>234.8.c [See WES-A]</t>
  </si>
  <si>
    <t>(Note S &amp; T)</t>
  </si>
  <si>
    <t xml:space="preserve">   transmission service, ISO filings, or transmission siting itemized at 351.h. </t>
  </si>
  <si>
    <t>KANSAS GAS AND ELECTRIC COMPANY</t>
  </si>
  <si>
    <t xml:space="preserve">                SUPPORTING CALCULATIONS</t>
  </si>
  <si>
    <t>ACCOUNT 454 (RENT FROM ELECTRIC PROPERTY)  (Note R) [See WES-A]</t>
  </si>
  <si>
    <t>NOTES</t>
  </si>
  <si>
    <t>(330.x.n) [See WESTAR ENERGY, INC., page 1 of 1]</t>
  </si>
  <si>
    <t>Per Attachments</t>
  </si>
  <si>
    <t xml:space="preserve">  Amortization of Acquisition Adjustment (WEN/WES merger related premium)</t>
  </si>
  <si>
    <t>Page 1 of 1</t>
  </si>
  <si>
    <t>Distribution rental developed as follows:</t>
  </si>
  <si>
    <r>
      <t xml:space="preserve">  </t>
    </r>
    <r>
      <rPr>
        <sz val="16"/>
        <rFont val="Arial Narrow"/>
        <family val="2"/>
      </rPr>
      <t>Description</t>
    </r>
  </si>
  <si>
    <t xml:space="preserve">  Distribution pole attachment ratio</t>
  </si>
  <si>
    <t xml:space="preserve">  Distribution rental</t>
  </si>
  <si>
    <t xml:space="preserve">  Book Gain on Sale Leaseback (related to LaCygne generation station only)</t>
  </si>
  <si>
    <t xml:space="preserve">  Distribution rental (see below)</t>
  </si>
  <si>
    <t>Page 1 of 5</t>
  </si>
  <si>
    <t>Page 2 of 5</t>
  </si>
  <si>
    <t>Page 3 of 5</t>
  </si>
  <si>
    <t>Page 4 of 5</t>
  </si>
  <si>
    <t>Page 5 of 5</t>
  </si>
  <si>
    <t>(Worksheet WE-A )</t>
  </si>
  <si>
    <t xml:space="preserve">  Average of 12 coincident system peaks for requirements (RQ) service (Worksheet WE-A)     </t>
  </si>
  <si>
    <t xml:space="preserve">  Less 12 CP of firm P-T-P over one year (enter negative) (Worksheet WE-A)</t>
  </si>
  <si>
    <t xml:space="preserve">  Plus Contract Demand of firm P-T-P over one year (Worksheet WE-A)</t>
  </si>
  <si>
    <t>[From "Account 456 Analysis"]</t>
  </si>
  <si>
    <t>Data for Page 1, line 8</t>
  </si>
  <si>
    <t>Month</t>
  </si>
  <si>
    <t>WEN</t>
  </si>
  <si>
    <t>WES</t>
  </si>
  <si>
    <t>Westar Energy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</si>
  <si>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</si>
  <si>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</si>
  <si>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</si>
  <si>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</si>
  <si>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</si>
  <si>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</si>
  <si>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</si>
  <si>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</si>
  <si>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</si>
  <si>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</si>
  <si>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</si>
  <si>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</si>
  <si>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Average</t>
  </si>
  <si>
    <t>LOAD DATA IS THE TOTAL SYSTEM PEAK RESPONSIBILITY FROM "CALCULATION OF WRI COMBINED LOAD AND CAPABILITY".</t>
  </si>
  <si>
    <t>02/02/04 @ 1900</t>
  </si>
  <si>
    <t>03/04/04 @ 1100</t>
  </si>
  <si>
    <t>04/28/04 @ 1500</t>
  </si>
  <si>
    <t>05/20/04 @ 1700</t>
  </si>
  <si>
    <t>06/14/04 @ 1700</t>
  </si>
  <si>
    <t>07/20/04 @ 1700</t>
  </si>
  <si>
    <t>08/03/04 @ 1700</t>
  </si>
  <si>
    <t>09/14/04 @ 1700</t>
  </si>
  <si>
    <t>11/29/04 @ 1900</t>
  </si>
  <si>
    <t>12/22/04 @ 1900</t>
  </si>
  <si>
    <t>01/26/04 @ 1900</t>
  </si>
  <si>
    <t>10/08/04 @ 1700</t>
  </si>
  <si>
    <t xml:space="preserve">Page 1, line 8 [see below]     </t>
  </si>
  <si>
    <t>Page 1, line 12 [From "Account 456 Analysis"]</t>
  </si>
  <si>
    <t>[KEPCo's billing demand Page 1, line 11 reflected in line 8, see below]</t>
  </si>
  <si>
    <t>Day/Time</t>
  </si>
  <si>
    <t>(From WEN &amp; WES template p. 4 ln. 34)</t>
  </si>
  <si>
    <t xml:space="preserve">  Land rental for Gordon Evans CTs</t>
  </si>
  <si>
    <t xml:space="preserve">  Other Electric Property Rents</t>
  </si>
  <si>
    <t xml:space="preserve">  Included in template - (p.1 ln.2)</t>
  </si>
  <si>
    <t>Less Account 216.1</t>
  </si>
  <si>
    <t xml:space="preserve">Transmission </t>
  </si>
  <si>
    <t>Included in template (pg. 3 ln. 1)</t>
  </si>
  <si>
    <t>SPP Administration Fees and Related Monthly Assessments - Account 566.0011</t>
  </si>
  <si>
    <t>Note (2) Acct 437, Preferred Dividends Form 1 lists a negative $75,000,000.  A positive $75,000,000 is listed in template (p. 4, ln. 22) as instructed.</t>
  </si>
  <si>
    <t>Note (1) Acct 216.1, Form 1 lists a negative $737,931,022.  Template (p.4, ln. 25) instructs to enter a negative which results in a positive.</t>
  </si>
  <si>
    <t xml:space="preserve">         Other</t>
  </si>
  <si>
    <t>U</t>
  </si>
  <si>
    <t>V</t>
  </si>
  <si>
    <t>W</t>
  </si>
  <si>
    <t>Transmission O&amp;M expense excludes all SPP charges</t>
  </si>
  <si>
    <t>For Account 216.1, enter zero if the actual balance is negative</t>
  </si>
  <si>
    <t xml:space="preserve">   non-safety related advertising included in Account 930.1.  Line 5a - wholesale Regulatory Commission Expenses directly related to</t>
  </si>
  <si>
    <t xml:space="preserve">  Transmission (See WEN-A) (Note U)</t>
  </si>
  <si>
    <t>ADJUSTMENTS TO RATE BASE       (Note F &amp; V)</t>
  </si>
  <si>
    <t>Bal</t>
  </si>
  <si>
    <t>LaCygne</t>
  </si>
  <si>
    <t>Acqu Adj</t>
  </si>
  <si>
    <t>Balance</t>
  </si>
  <si>
    <t>Monthly Facility Carrying Charge</t>
  </si>
  <si>
    <t>(line 24 divided by 12)</t>
  </si>
  <si>
    <t xml:space="preserve">  Transmission (See WES-A) (Note U)</t>
  </si>
  <si>
    <t xml:space="preserve">   non-safety related advertising included in Account 930.1.  Line 5a - Wholesale Regulatory Commission Expenses directly related to transmission service,  </t>
  </si>
  <si>
    <t>Statement BK</t>
  </si>
  <si>
    <t>Schedule WES</t>
  </si>
  <si>
    <t>Schedule WES-A</t>
  </si>
  <si>
    <t>207.46.g</t>
  </si>
  <si>
    <t>207.58.g</t>
  </si>
  <si>
    <t>207.75.g</t>
  </si>
  <si>
    <t>207.90.g &amp; 205.5.g</t>
  </si>
  <si>
    <t>219.20-24.c</t>
  </si>
  <si>
    <t>219.25.c</t>
  </si>
  <si>
    <t>219.26.c</t>
  </si>
  <si>
    <t xml:space="preserve">219.27.c </t>
  </si>
  <si>
    <t>227.8.c &amp; .15.c</t>
  </si>
  <si>
    <t>111.57.d</t>
  </si>
  <si>
    <t>263.i</t>
  </si>
  <si>
    <t>Long Term Interest (117, sum of 62c through 66c)</t>
  </si>
  <si>
    <t>Proprietary Capital (112.16c)</t>
  </si>
  <si>
    <t xml:space="preserve">  Long Term Debt (112, sum of 18.c through 21.c)</t>
  </si>
  <si>
    <t xml:space="preserve">  Preferred Stock  (112.3.c)</t>
  </si>
  <si>
    <t>Less Account 216.1 (112.12.c)  (enter negative) (Note W)</t>
  </si>
  <si>
    <t>Schedule WEN</t>
  </si>
  <si>
    <t>Schedule WEN-A</t>
  </si>
  <si>
    <r>
      <t>207.90.g &amp;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205.5.g </t>
    </r>
  </si>
  <si>
    <t>219.25c</t>
  </si>
  <si>
    <t>219.26c</t>
  </si>
  <si>
    <t>219.27.c</t>
  </si>
  <si>
    <t>267.h.8 (h.2)</t>
  </si>
  <si>
    <t xml:space="preserve">  step-up facilities, which are deemed to be included in OATT ancillary services.  For these purposes, generation step-up facilities are those </t>
  </si>
  <si>
    <t xml:space="preserve">  facilities at a generator substation on which there is no through-flow when the generator is shut down.</t>
  </si>
  <si>
    <r>
      <t xml:space="preserve">  and the loads are included in line 13, page 1.  Grandfathered agreements whose rates have </t>
    </r>
    <r>
      <rPr>
        <u val="single"/>
        <sz val="14"/>
        <rFont val="Arial MT"/>
        <family val="0"/>
      </rPr>
      <t>not</t>
    </r>
    <r>
      <rPr>
        <sz val="14"/>
        <rFont val="Arial MT"/>
        <family val="0"/>
      </rPr>
      <t xml:space="preserve"> been changed to eliminate or mitigate </t>
    </r>
  </si>
  <si>
    <t xml:space="preserve">  pancaking - the revenues are not included in line 4, page 1 nor are the loads included in line 13, page 1.</t>
  </si>
  <si>
    <t>Proprietary Capital (112.16.c)</t>
  </si>
  <si>
    <t xml:space="preserve">  Long Term Debt (112, sum of 18.c. through 21.c)</t>
  </si>
  <si>
    <t>Note (2) Acct 437, Preferred Dividends Form 1 lists a negative $242,452.  A positive $242,452 is listed in template (p. 4, ln. 22) as instructed.</t>
  </si>
  <si>
    <t>Less Account 216.1 (112.12.c)  (enter negative) (Note W) [See WEN-A]</t>
  </si>
  <si>
    <t>ACCOUNT 454 (RENT FROM ELECTRIC PROPERTY) (Note R) [See WEN-A]</t>
  </si>
  <si>
    <t>(330.x.n)  [See (WESTAR), page 1 of 1]</t>
  </si>
  <si>
    <t>GROSS REVENUE REQUIREMENT</t>
  </si>
  <si>
    <t>[(WEN), pg. 1, ln. 1 + (WES), pg. 1, ln. 1]</t>
  </si>
  <si>
    <t>(WESTAR)</t>
  </si>
  <si>
    <t>Schedule WESTAR</t>
  </si>
  <si>
    <t>Schedule WE-A</t>
  </si>
  <si>
    <t xml:space="preserve">  SFAS 106 &amp; 112 (Post Retirement)</t>
  </si>
  <si>
    <t xml:space="preserve">Account 283 exludes the merger Acquistion Adjustment and Account 190 excludes the book gain on the La Cygne sale lease back consistent </t>
  </si>
  <si>
    <t>with the last rate case.</t>
  </si>
  <si>
    <t>Schedule Acc. 456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</si>
</sst>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0.000"/>
    <numFmt numFmtId="172" formatCode="0.0%"/>
    <numFmt numFmtId="173" formatCode="0.00000000"/>
    <numFmt numFmtId="174" formatCode="0.0000000"/>
    <numFmt numFmtId="175" formatCode="0.000000"/>
    <numFmt numFmtId="176" formatCode="#,##0.0"/>
    <numFmt numFmtId="177" formatCode="0.0"/>
    <numFmt numFmtId="178" formatCode="&quot;$&quot;#,##0.000"/>
    <numFmt numFmtId="179" formatCode="&quot;$&quot;#,##0.00"/>
    <numFmt numFmtId="180" formatCode="General_)"/>
    <numFmt numFmtId="181" formatCode="&quot;$&quot;#,##0.0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#,##0.0_);\(#,##0.0\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_);_(&quot;$&quot;* \(#,##0\);_(&quot;$&quot;* &quot;-&quot;??_);_(@_)"/>
    <numFmt numFmtId="191" formatCode="&quot;$&quot;#,##0.0000"/>
    <numFmt numFmtId="192" formatCode="&quot;$&quot;#,##0.000000"/>
    <numFmt numFmtId="193" formatCode="&quot;$&quot;#,##0.0000000"/>
    <numFmt numFmtId="194" formatCode="0.0000%"/>
    <numFmt numFmtId="195" formatCode="&quot;$&quot;#,##0.00000"/>
  </numFmts>
  <fonts count="2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MT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name val="Arial MT"/>
      <family val="0"/>
    </font>
    <font>
      <sz val="14"/>
      <name val="Arial MT"/>
      <family val="0"/>
    </font>
    <font>
      <sz val="14"/>
      <name val="Times New Roman"/>
      <family val="1"/>
    </font>
    <font>
      <sz val="16"/>
      <name val="Arial MT"/>
      <family val="0"/>
    </font>
    <font>
      <u val="single"/>
      <sz val="14"/>
      <name val="Arial MT"/>
      <family val="0"/>
    </font>
    <font>
      <sz val="12"/>
      <name val="Arial Narrow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u val="single"/>
      <sz val="16"/>
      <name val="Arial Narrow"/>
      <family val="2"/>
    </font>
    <font>
      <sz val="16"/>
      <color indexed="10"/>
      <name val="Arial Narrow"/>
      <family val="2"/>
    </font>
    <font>
      <sz val="11"/>
      <name val="Arial Narrow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79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Protection="0">
      <alignment/>
    </xf>
  </cellStyleXfs>
  <cellXfs count="330">
    <xf numFmtId="179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79" fontId="5" fillId="0" borderId="0" xfId="0" applyFont="1" applyAlignment="1">
      <alignment/>
    </xf>
    <xf numFmtId="0" fontId="0" fillId="0" borderId="0" xfId="0" applyNumberFormat="1" applyFont="1" applyAlignment="1">
      <alignment/>
    </xf>
    <xf numFmtId="179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179" fontId="6" fillId="0" borderId="0" xfId="0" applyFont="1" applyAlignment="1">
      <alignment/>
    </xf>
    <xf numFmtId="0" fontId="8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fill"/>
    </xf>
    <xf numFmtId="164" fontId="6" fillId="0" borderId="0" xfId="0" applyNumberFormat="1" applyFont="1" applyAlignment="1">
      <alignment horizontal="center"/>
    </xf>
    <xf numFmtId="179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179" fontId="9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42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79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/>
    </xf>
    <xf numFmtId="3" fontId="0" fillId="0" borderId="0" xfId="0" applyNumberFormat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/>
      <protection/>
    </xf>
    <xf numFmtId="179" fontId="0" fillId="0" borderId="0" xfId="0" applyFill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178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178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Continuous"/>
    </xf>
    <xf numFmtId="42" fontId="6" fillId="0" borderId="2" xfId="0" applyNumberFormat="1" applyFont="1" applyBorder="1" applyAlignment="1">
      <alignment horizontal="right"/>
    </xf>
    <xf numFmtId="179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/>
    </xf>
    <xf numFmtId="179" fontId="0" fillId="0" borderId="1" xfId="0" applyBorder="1" applyAlignment="1">
      <alignment/>
    </xf>
    <xf numFmtId="0" fontId="11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179" fontId="6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78" fontId="6" fillId="2" borderId="0" xfId="0" applyNumberFormat="1" applyFont="1" applyFill="1" applyAlignment="1" applyProtection="1">
      <alignment/>
      <protection locked="0"/>
    </xf>
    <xf numFmtId="3" fontId="6" fillId="2" borderId="0" xfId="0" applyNumberFormat="1" applyFont="1" applyFill="1" applyAlignment="1">
      <alignment/>
    </xf>
    <xf numFmtId="3" fontId="6" fillId="2" borderId="1" xfId="0" applyNumberFormat="1" applyFont="1" applyFill="1" applyBorder="1" applyAlignment="1">
      <alignment/>
    </xf>
    <xf numFmtId="42" fontId="6" fillId="2" borderId="0" xfId="0" applyNumberFormat="1" applyFont="1" applyFill="1" applyAlignment="1">
      <alignment/>
    </xf>
    <xf numFmtId="170" fontId="6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8" fontId="6" fillId="2" borderId="0" xfId="0" applyNumberFormat="1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/>
    </xf>
    <xf numFmtId="38" fontId="6" fillId="2" borderId="1" xfId="0" applyNumberFormat="1" applyFont="1" applyFill="1" applyBorder="1" applyAlignment="1" applyProtection="1">
      <alignment/>
      <protection locked="0"/>
    </xf>
    <xf numFmtId="38" fontId="0" fillId="0" borderId="0" xfId="0" applyNumberFormat="1" applyAlignment="1">
      <alignment/>
    </xf>
    <xf numFmtId="38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ill="1" applyAlignment="1" applyProtection="1">
      <alignment horizontal="right"/>
      <protection locked="0"/>
    </xf>
    <xf numFmtId="10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>
      <alignment horizontal="right"/>
    </xf>
    <xf numFmtId="169" fontId="6" fillId="0" borderId="1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179" fontId="12" fillId="0" borderId="0" xfId="0" applyFont="1" applyAlignment="1">
      <alignment/>
    </xf>
    <xf numFmtId="179" fontId="12" fillId="0" borderId="0" xfId="0" applyFont="1" applyAlignment="1">
      <alignment horizontal="center"/>
    </xf>
    <xf numFmtId="179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9" fontId="0" fillId="0" borderId="0" xfId="0" applyFill="1" applyAlignment="1">
      <alignment/>
    </xf>
    <xf numFmtId="179" fontId="6" fillId="0" borderId="0" xfId="0" applyFont="1" applyFill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10" fontId="12" fillId="2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179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79" fontId="17" fillId="0" borderId="0" xfId="0" applyFont="1" applyAlignment="1">
      <alignment/>
    </xf>
    <xf numFmtId="179" fontId="17" fillId="0" borderId="3" xfId="0" applyFont="1" applyBorder="1" applyAlignment="1">
      <alignment horizontal="centerContinuous"/>
    </xf>
    <xf numFmtId="179" fontId="18" fillId="0" borderId="0" xfId="0" applyFont="1" applyAlignment="1">
      <alignment horizontal="right"/>
    </xf>
    <xf numFmtId="39" fontId="17" fillId="0" borderId="0" xfId="0" applyNumberFormat="1" applyFont="1" applyAlignment="1">
      <alignment/>
    </xf>
    <xf numFmtId="39" fontId="18" fillId="0" borderId="0" xfId="0" applyNumberFormat="1" applyFont="1" applyBorder="1" applyAlignment="1">
      <alignment/>
    </xf>
    <xf numFmtId="39" fontId="18" fillId="0" borderId="0" xfId="0" applyNumberFormat="1" applyFont="1" applyAlignment="1">
      <alignment/>
    </xf>
    <xf numFmtId="37" fontId="17" fillId="0" borderId="0" xfId="0" applyNumberFormat="1" applyFont="1" applyAlignment="1">
      <alignment/>
    </xf>
    <xf numFmtId="179" fontId="5" fillId="0" borderId="0" xfId="0" applyFont="1" applyAlignment="1">
      <alignment/>
    </xf>
    <xf numFmtId="179" fontId="19" fillId="0" borderId="0" xfId="0" applyFont="1" applyAlignment="1">
      <alignment/>
    </xf>
    <xf numFmtId="179" fontId="20" fillId="0" borderId="0" xfId="0" applyFont="1" applyAlignment="1">
      <alignment horizontal="center"/>
    </xf>
    <xf numFmtId="179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179" fontId="20" fillId="0" borderId="0" xfId="0" applyFont="1" applyFill="1" applyAlignment="1">
      <alignment/>
    </xf>
    <xf numFmtId="179" fontId="21" fillId="0" borderId="0" xfId="0" applyFont="1" applyAlignment="1">
      <alignment horizontal="centerContinuous"/>
    </xf>
    <xf numFmtId="179" fontId="20" fillId="0" borderId="0" xfId="0" applyFont="1" applyAlignment="1">
      <alignment horizontal="centerContinuous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79" fontId="21" fillId="0" borderId="0" xfId="0" applyFont="1" applyAlignment="1">
      <alignment/>
    </xf>
    <xf numFmtId="0" fontId="2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79" fontId="22" fillId="0" borderId="0" xfId="0" applyFont="1" applyAlignment="1">
      <alignment/>
    </xf>
    <xf numFmtId="179" fontId="20" fillId="0" borderId="0" xfId="0" applyFont="1" applyAlignment="1">
      <alignment/>
    </xf>
    <xf numFmtId="179" fontId="14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70" fontId="20" fillId="2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0" fontId="21" fillId="0" borderId="0" xfId="16" applyNumberFormat="1" applyFont="1" applyAlignment="1" applyProtection="1">
      <alignment/>
      <protection locked="0"/>
    </xf>
    <xf numFmtId="179" fontId="21" fillId="0" borderId="0" xfId="0" applyFont="1" applyAlignment="1">
      <alignment/>
    </xf>
    <xf numFmtId="3" fontId="20" fillId="2" borderId="0" xfId="0" applyNumberFormat="1" applyFont="1" applyFill="1" applyAlignment="1">
      <alignment/>
    </xf>
    <xf numFmtId="179" fontId="20" fillId="0" borderId="0" xfId="0" applyFont="1" applyAlignment="1">
      <alignment vertical="top" wrapText="1"/>
    </xf>
    <xf numFmtId="179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3" fontId="20" fillId="0" borderId="0" xfId="15" applyNumberFormat="1" applyFont="1" applyAlignment="1">
      <alignment/>
    </xf>
    <xf numFmtId="3" fontId="21" fillId="2" borderId="0" xfId="0" applyNumberFormat="1" applyFont="1" applyFill="1" applyAlignment="1">
      <alignment/>
    </xf>
    <xf numFmtId="179" fontId="24" fillId="0" borderId="0" xfId="0" applyFont="1" applyAlignment="1">
      <alignment vertical="top" wrapText="1"/>
    </xf>
    <xf numFmtId="0" fontId="5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/>
    </xf>
    <xf numFmtId="179" fontId="20" fillId="0" borderId="0" xfId="0" applyFont="1" applyAlignment="1">
      <alignment horizontal="right"/>
    </xf>
    <xf numFmtId="179" fontId="0" fillId="0" borderId="0" xfId="0" applyAlignment="1">
      <alignment/>
    </xf>
    <xf numFmtId="179" fontId="23" fillId="0" borderId="0" xfId="0" applyFont="1" applyAlignment="1">
      <alignment/>
    </xf>
    <xf numFmtId="3" fontId="0" fillId="0" borderId="0" xfId="0" applyNumberFormat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9" fontId="25" fillId="0" borderId="0" xfId="0" applyFont="1" applyAlignment="1">
      <alignment textRotation="90"/>
    </xf>
    <xf numFmtId="179" fontId="24" fillId="0" borderId="0" xfId="0" applyFont="1" applyAlignment="1">
      <alignment wrapText="1"/>
    </xf>
    <xf numFmtId="170" fontId="20" fillId="0" borderId="0" xfId="0" applyNumberFormat="1" applyFont="1" applyFill="1" applyBorder="1" applyAlignment="1" applyProtection="1">
      <alignment/>
      <protection/>
    </xf>
    <xf numFmtId="170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6" fillId="0" borderId="0" xfId="0" applyNumberFormat="1" applyFont="1" applyAlignment="1">
      <alignment vertical="top"/>
    </xf>
    <xf numFmtId="170" fontId="20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79" fontId="21" fillId="0" borderId="0" xfId="0" applyFont="1" applyAlignment="1">
      <alignment horizontal="left"/>
    </xf>
    <xf numFmtId="0" fontId="21" fillId="0" borderId="0" xfId="0" applyNumberFormat="1" applyFont="1" applyAlignment="1">
      <alignment/>
    </xf>
    <xf numFmtId="169" fontId="20" fillId="2" borderId="0" xfId="0" applyNumberFormat="1" applyFont="1" applyFill="1" applyAlignment="1">
      <alignment/>
    </xf>
    <xf numFmtId="169" fontId="20" fillId="2" borderId="1" xfId="0" applyNumberFormat="1" applyFont="1" applyFill="1" applyBorder="1" applyAlignment="1">
      <alignment/>
    </xf>
    <xf numFmtId="0" fontId="20" fillId="2" borderId="1" xfId="0" applyNumberFormat="1" applyFont="1" applyFill="1" applyBorder="1" applyAlignment="1">
      <alignment horizontal="center"/>
    </xf>
    <xf numFmtId="3" fontId="20" fillId="0" borderId="1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6" fillId="2" borderId="0" xfId="16" applyNumberFormat="1" applyFont="1" applyFill="1" applyAlignment="1" applyProtection="1">
      <alignment/>
      <protection locked="0"/>
    </xf>
    <xf numFmtId="169" fontId="6" fillId="2" borderId="0" xfId="16" applyNumberFormat="1" applyFont="1" applyFill="1" applyAlignment="1" applyProtection="1">
      <alignment/>
      <protection locked="0"/>
    </xf>
    <xf numFmtId="3" fontId="6" fillId="2" borderId="0" xfId="16" applyNumberFormat="1" applyFont="1" applyFill="1" applyAlignment="1" applyProtection="1">
      <alignment vertical="center"/>
      <protection locked="0"/>
    </xf>
    <xf numFmtId="3" fontId="6" fillId="2" borderId="1" xfId="16" applyNumberFormat="1" applyFont="1" applyFill="1" applyBorder="1" applyAlignment="1" applyProtection="1">
      <alignment/>
      <protection locked="0"/>
    </xf>
    <xf numFmtId="3" fontId="6" fillId="2" borderId="0" xfId="16" applyNumberFormat="1" applyFont="1" applyFill="1" applyBorder="1" applyAlignment="1" applyProtection="1">
      <alignment/>
      <protection locked="0"/>
    </xf>
    <xf numFmtId="42" fontId="6" fillId="2" borderId="0" xfId="16" applyNumberFormat="1" applyFont="1" applyFill="1" applyAlignment="1" applyProtection="1">
      <alignment/>
      <protection locked="0"/>
    </xf>
    <xf numFmtId="178" fontId="6" fillId="0" borderId="0" xfId="0" applyNumberFormat="1" applyFont="1" applyFill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 horizontal="right"/>
      <protection locked="0"/>
    </xf>
    <xf numFmtId="170" fontId="6" fillId="2" borderId="1" xfId="0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Alignment="1">
      <alignment horizontal="centerContinuous"/>
    </xf>
    <xf numFmtId="179" fontId="0" fillId="0" borderId="0" xfId="0" applyAlignment="1">
      <alignment horizontal="centerContinuous"/>
    </xf>
    <xf numFmtId="0" fontId="6" fillId="0" borderId="0" xfId="0" applyNumberFormat="1" applyFont="1" applyAlignment="1">
      <alignment horizontal="centerContinuous"/>
    </xf>
    <xf numFmtId="3" fontId="20" fillId="0" borderId="0" xfId="0" applyNumberFormat="1" applyFont="1" applyFill="1" applyBorder="1" applyAlignment="1">
      <alignment/>
    </xf>
    <xf numFmtId="179" fontId="16" fillId="0" borderId="0" xfId="0" applyFont="1" applyAlignment="1">
      <alignment/>
    </xf>
    <xf numFmtId="169" fontId="20" fillId="0" borderId="3" xfId="0" applyNumberFormat="1" applyFont="1" applyBorder="1" applyAlignment="1">
      <alignment/>
    </xf>
    <xf numFmtId="3" fontId="20" fillId="0" borderId="3" xfId="0" applyNumberFormat="1" applyFont="1" applyFill="1" applyBorder="1" applyAlignment="1">
      <alignment/>
    </xf>
    <xf numFmtId="179" fontId="20" fillId="0" borderId="1" xfId="0" applyFont="1" applyBorder="1" applyAlignment="1">
      <alignment horizontal="center"/>
    </xf>
    <xf numFmtId="3" fontId="20" fillId="0" borderId="0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179" fontId="16" fillId="0" borderId="0" xfId="0" applyFont="1" applyAlignment="1">
      <alignment horizontal="left"/>
    </xf>
    <xf numFmtId="179" fontId="16" fillId="0" borderId="0" xfId="0" applyFont="1" applyAlignment="1">
      <alignment horizontal="right"/>
    </xf>
    <xf numFmtId="3" fontId="8" fillId="0" borderId="0" xfId="0" applyNumberFormat="1" applyFont="1" applyAlignment="1" quotePrefix="1">
      <alignment/>
    </xf>
    <xf numFmtId="0" fontId="11" fillId="0" borderId="0" xfId="0" applyNumberFormat="1" applyFont="1" applyAlignment="1" quotePrefix="1">
      <alignment/>
    </xf>
    <xf numFmtId="3" fontId="20" fillId="0" borderId="0" xfId="0" applyNumberFormat="1" applyFont="1" applyAlignment="1">
      <alignment horizontal="center"/>
    </xf>
    <xf numFmtId="3" fontId="20" fillId="0" borderId="1" xfId="0" applyNumberFormat="1" applyFont="1" applyBorder="1" applyAlignment="1">
      <alignment horizontal="center"/>
    </xf>
    <xf numFmtId="179" fontId="21" fillId="0" borderId="1" xfId="0" applyFont="1" applyBorder="1" applyAlignment="1">
      <alignment horizontal="center"/>
    </xf>
    <xf numFmtId="179" fontId="0" fillId="0" borderId="0" xfId="0" applyFont="1" applyAlignment="1">
      <alignment/>
    </xf>
    <xf numFmtId="179" fontId="0" fillId="0" borderId="0" xfId="0" applyBorder="1" applyAlignment="1">
      <alignment/>
    </xf>
    <xf numFmtId="3" fontId="20" fillId="0" borderId="3" xfId="0" applyNumberFormat="1" applyFont="1" applyFill="1" applyBorder="1" applyAlignment="1" applyProtection="1">
      <alignment/>
      <protection/>
    </xf>
    <xf numFmtId="3" fontId="20" fillId="0" borderId="0" xfId="16" applyNumberFormat="1" applyFont="1" applyFill="1" applyBorder="1" applyProtection="1">
      <alignment/>
      <protection locked="0"/>
    </xf>
    <xf numFmtId="179" fontId="8" fillId="0" borderId="0" xfId="0" applyFont="1" applyAlignment="1" quotePrefix="1">
      <alignment/>
    </xf>
    <xf numFmtId="17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2" borderId="0" xfId="0" applyNumberFormat="1" applyFont="1" applyFill="1" applyAlignment="1">
      <alignment/>
    </xf>
    <xf numFmtId="0" fontId="6" fillId="0" borderId="0" xfId="0" applyNumberFormat="1" applyFont="1" applyAlignment="1" quotePrefix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184" fontId="0" fillId="0" borderId="0" xfId="15" applyNumberFormat="1" applyAlignment="1">
      <alignment/>
    </xf>
    <xf numFmtId="179" fontId="21" fillId="0" borderId="0" xfId="0" applyFont="1" applyAlignment="1">
      <alignment horizontal="center"/>
    </xf>
    <xf numFmtId="179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3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/>
    </xf>
    <xf numFmtId="3" fontId="16" fillId="0" borderId="0" xfId="16" applyNumberFormat="1" applyFont="1" applyFill="1" applyBorder="1" applyAlignment="1" applyProtection="1">
      <alignment horizontal="right"/>
      <protection locked="0"/>
    </xf>
    <xf numFmtId="3" fontId="16" fillId="0" borderId="0" xfId="16" applyNumberFormat="1" applyFont="1" applyFill="1" applyBorder="1" applyProtection="1">
      <alignment/>
      <protection locked="0"/>
    </xf>
    <xf numFmtId="168" fontId="9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center"/>
    </xf>
    <xf numFmtId="179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178" fontId="9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169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horizontal="right"/>
    </xf>
    <xf numFmtId="4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179" fontId="0" fillId="0" borderId="0" xfId="0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/>
    </xf>
    <xf numFmtId="179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 horizontal="center"/>
    </xf>
    <xf numFmtId="179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78" fontId="9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9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vertical="top" wrapText="1"/>
    </xf>
    <xf numFmtId="3" fontId="6" fillId="2" borderId="0" xfId="16" applyNumberFormat="1" applyFont="1" applyFill="1" applyAlignment="1" applyProtection="1">
      <alignment vertical="top"/>
      <protection locked="0"/>
    </xf>
    <xf numFmtId="3" fontId="20" fillId="0" borderId="0" xfId="15" applyNumberFormat="1" applyFont="1" applyFill="1" applyAlignment="1">
      <alignment/>
    </xf>
    <xf numFmtId="3" fontId="6" fillId="2" borderId="0" xfId="0" applyNumberFormat="1" applyFont="1" applyFill="1" applyAlignment="1">
      <alignment vertical="top"/>
    </xf>
    <xf numFmtId="170" fontId="21" fillId="2" borderId="0" xfId="0" applyNumberFormat="1" applyFont="1" applyFill="1" applyAlignment="1">
      <alignment/>
    </xf>
    <xf numFmtId="170" fontId="21" fillId="2" borderId="0" xfId="0" applyNumberFormat="1" applyFont="1" applyFill="1" applyBorder="1" applyAlignment="1" applyProtection="1">
      <alignment/>
      <protection/>
    </xf>
    <xf numFmtId="179" fontId="20" fillId="0" borderId="0" xfId="0" applyNumberFormat="1" applyFont="1" applyAlignment="1">
      <alignment/>
    </xf>
    <xf numFmtId="1" fontId="0" fillId="0" borderId="0" xfId="0" applyNumberFormat="1" applyFill="1" applyAlignment="1">
      <alignment horizontal="center"/>
    </xf>
    <xf numFmtId="194" fontId="6" fillId="0" borderId="0" xfId="0" applyNumberFormat="1" applyFont="1" applyFill="1" applyAlignment="1">
      <alignment/>
    </xf>
    <xf numFmtId="179" fontId="12" fillId="0" borderId="0" xfId="0" applyFont="1" applyFill="1" applyAlignment="1">
      <alignment/>
    </xf>
    <xf numFmtId="179" fontId="0" fillId="0" borderId="0" xfId="0" applyAlignment="1">
      <alignment/>
    </xf>
  </cellXfs>
  <cellStyles count="3">
    <cellStyle name="Normal" xfId="0"/>
    <cellStyle name="Comma" xfId="15"/>
    <cellStyle name="Normal_FN1 Ratebase Draft SPP template (6-11-04) v2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84"/>
  <sheetViews>
    <sheetView tabSelected="1" view="pageBreakPreview" zoomScale="60" zoomScaleNormal="60" workbookViewId="0" topLeftCell="A1">
      <selection activeCell="A1" sqref="A1"/>
    </sheetView>
  </sheetViews>
  <sheetFormatPr defaultColWidth="8.88671875" defaultRowHeight="15"/>
  <cols>
    <col min="1" max="1" width="9.3359375" style="0" customWidth="1"/>
    <col min="2" max="2" width="3.3359375" style="0" customWidth="1"/>
    <col min="3" max="3" width="30.6640625" style="0" customWidth="1"/>
    <col min="4" max="4" width="34.4453125" style="0" customWidth="1"/>
    <col min="5" max="5" width="13.88671875" style="0" customWidth="1"/>
    <col min="6" max="6" width="10.77734375" style="0" customWidth="1"/>
    <col min="7" max="7" width="5.6640625" style="0" customWidth="1"/>
    <col min="8" max="8" width="12.5546875" style="0" customWidth="1"/>
    <col min="9" max="9" width="5.77734375" style="0" customWidth="1"/>
    <col min="10" max="10" width="13.6640625" style="0" customWidth="1"/>
    <col min="11" max="11" width="3.4453125" style="0" customWidth="1"/>
    <col min="12" max="12" width="9.10546875" style="0" customWidth="1"/>
    <col min="13" max="13" width="1.88671875" style="0" customWidth="1"/>
    <col min="14" max="14" width="11.3359375" style="0" customWidth="1"/>
  </cols>
  <sheetData>
    <row r="1" spans="3:63" ht="15">
      <c r="C1" s="49" t="s">
        <v>0</v>
      </c>
      <c r="D1" s="49"/>
      <c r="E1" s="50" t="s">
        <v>1</v>
      </c>
      <c r="F1" s="49"/>
      <c r="G1" s="49"/>
      <c r="H1" s="49"/>
      <c r="J1" t="s">
        <v>467</v>
      </c>
      <c r="K1" s="16"/>
      <c r="L1" s="16"/>
      <c r="M1" s="162"/>
      <c r="N1" s="162"/>
      <c r="O1" s="162"/>
      <c r="P1" s="162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</row>
    <row r="2" spans="3:63" ht="15">
      <c r="C2" s="49"/>
      <c r="D2" s="21" t="s">
        <v>2</v>
      </c>
      <c r="E2" s="21" t="s">
        <v>3</v>
      </c>
      <c r="F2" s="21"/>
      <c r="G2" s="21"/>
      <c r="H2" s="21"/>
      <c r="J2" t="s">
        <v>506</v>
      </c>
      <c r="K2" s="16"/>
      <c r="L2" s="16"/>
      <c r="M2" s="162"/>
      <c r="N2" s="162"/>
      <c r="O2" s="162"/>
      <c r="P2" s="162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</row>
    <row r="3" spans="3:63" ht="15">
      <c r="C3" s="16"/>
      <c r="D3" s="16"/>
      <c r="E3" s="16"/>
      <c r="F3" s="16"/>
      <c r="G3" s="16"/>
      <c r="H3" s="16"/>
      <c r="I3" s="51" t="s">
        <v>270</v>
      </c>
      <c r="K3" s="16"/>
      <c r="L3" s="16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</row>
    <row r="4" spans="1:63" ht="15">
      <c r="A4" s="75"/>
      <c r="C4" s="16"/>
      <c r="D4" s="142"/>
      <c r="E4" s="24" t="s">
        <v>272</v>
      </c>
      <c r="F4" s="16"/>
      <c r="G4" s="16"/>
      <c r="H4" s="16"/>
      <c r="I4" s="51"/>
      <c r="J4" s="51" t="s">
        <v>388</v>
      </c>
      <c r="K4" s="16"/>
      <c r="L4" s="16"/>
      <c r="M4" s="162"/>
      <c r="N4" s="162"/>
      <c r="O4" s="162"/>
      <c r="P4" s="162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</row>
    <row r="5" spans="1:63" ht="15">
      <c r="A5" s="75"/>
      <c r="C5" s="16"/>
      <c r="D5" s="16"/>
      <c r="E5" s="24" t="s">
        <v>505</v>
      </c>
      <c r="F5" s="16"/>
      <c r="G5" s="16"/>
      <c r="H5" s="16"/>
      <c r="I5" s="16"/>
      <c r="J5" s="16"/>
      <c r="K5" s="16"/>
      <c r="L5" s="16"/>
      <c r="M5" s="162"/>
      <c r="N5" s="162"/>
      <c r="O5" s="162"/>
      <c r="P5" s="162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</row>
    <row r="6" spans="1:63" ht="15">
      <c r="A6" s="75" t="s">
        <v>4</v>
      </c>
      <c r="C6" s="16"/>
      <c r="D6" s="16"/>
      <c r="E6" s="38"/>
      <c r="F6" s="16"/>
      <c r="G6" s="16"/>
      <c r="H6" s="16"/>
      <c r="I6" s="16"/>
      <c r="J6" s="52" t="s">
        <v>5</v>
      </c>
      <c r="K6" s="16"/>
      <c r="L6" s="16"/>
      <c r="M6" s="162"/>
      <c r="N6" s="162"/>
      <c r="O6" s="162"/>
      <c r="P6" s="162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</row>
    <row r="7" spans="1:63" ht="15.75" thickBot="1">
      <c r="A7" s="76" t="s">
        <v>6</v>
      </c>
      <c r="C7" s="16"/>
      <c r="D7" s="16"/>
      <c r="E7" s="16"/>
      <c r="F7" s="16"/>
      <c r="G7" s="16"/>
      <c r="H7" s="16"/>
      <c r="I7" s="16"/>
      <c r="J7" s="61" t="s">
        <v>7</v>
      </c>
      <c r="K7" s="16"/>
      <c r="L7" s="16"/>
      <c r="M7" s="162"/>
      <c r="N7" s="162"/>
      <c r="O7" s="162"/>
      <c r="P7" s="162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</row>
    <row r="8" spans="1:63" ht="15">
      <c r="A8" s="75">
        <v>1</v>
      </c>
      <c r="C8" s="16" t="s">
        <v>503</v>
      </c>
      <c r="D8" s="142" t="s">
        <v>504</v>
      </c>
      <c r="E8" s="17"/>
      <c r="F8" s="16"/>
      <c r="G8" s="16"/>
      <c r="H8" s="16"/>
      <c r="I8" s="16"/>
      <c r="J8" s="57">
        <f>+WEN!J160+WES!J160</f>
        <v>147614183.99879026</v>
      </c>
      <c r="K8" s="16"/>
      <c r="L8" s="16"/>
      <c r="M8" s="162"/>
      <c r="N8" s="162"/>
      <c r="O8" s="162"/>
      <c r="P8" s="162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</row>
    <row r="9" spans="1:63" ht="15">
      <c r="A9" s="75"/>
      <c r="C9" s="16"/>
      <c r="D9" s="16"/>
      <c r="E9" s="16"/>
      <c r="F9" s="16"/>
      <c r="G9" s="16"/>
      <c r="H9" s="16"/>
      <c r="I9" s="16"/>
      <c r="J9" s="17"/>
      <c r="K9" s="16"/>
      <c r="L9" s="16"/>
      <c r="M9" s="162"/>
      <c r="N9" s="162"/>
      <c r="O9" s="162"/>
      <c r="P9" s="162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</row>
    <row r="10" spans="1:63" ht="15">
      <c r="A10" s="75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2"/>
      <c r="N10" s="162"/>
      <c r="O10" s="162"/>
      <c r="P10" s="162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</row>
    <row r="11" spans="1:63" ht="15.75" thickBot="1">
      <c r="A11" s="75" t="s">
        <v>2</v>
      </c>
      <c r="C11" s="18" t="s">
        <v>8</v>
      </c>
      <c r="D11" s="58" t="s">
        <v>354</v>
      </c>
      <c r="E11" s="61" t="s">
        <v>9</v>
      </c>
      <c r="F11" s="21"/>
      <c r="G11" s="77" t="s">
        <v>10</v>
      </c>
      <c r="H11" s="77"/>
      <c r="I11" s="16"/>
      <c r="J11" s="17"/>
      <c r="K11" s="16"/>
      <c r="L11" s="16"/>
      <c r="M11" s="162"/>
      <c r="N11" s="162"/>
      <c r="O11" s="162"/>
      <c r="P11" s="162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</row>
    <row r="12" spans="1:63" ht="15">
      <c r="A12" s="75">
        <v>2</v>
      </c>
      <c r="C12" s="18" t="s">
        <v>12</v>
      </c>
      <c r="D12" s="21" t="s">
        <v>440</v>
      </c>
      <c r="E12" s="194" t="s">
        <v>326</v>
      </c>
      <c r="F12" s="21"/>
      <c r="G12" s="21" t="s">
        <v>11</v>
      </c>
      <c r="H12" s="195" t="s">
        <v>326</v>
      </c>
      <c r="I12" s="21"/>
      <c r="J12" s="21">
        <f>+WEN!J12+WES!J12</f>
        <v>4049169.253713244</v>
      </c>
      <c r="K12" s="16"/>
      <c r="L12" s="16"/>
      <c r="M12" s="162"/>
      <c r="N12" s="162"/>
      <c r="O12" s="162"/>
      <c r="P12" s="162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</row>
    <row r="13" spans="1:63" ht="15">
      <c r="A13" s="75">
        <v>3</v>
      </c>
      <c r="C13" s="18" t="s">
        <v>13</v>
      </c>
      <c r="D13" s="21" t="s">
        <v>400</v>
      </c>
      <c r="E13" s="21">
        <f>+H61</f>
        <v>66864790.29999998</v>
      </c>
      <c r="F13" s="21"/>
      <c r="G13" s="21" t="str">
        <f aca="true" t="shared" si="0" ref="G13:H15">+G12</f>
        <v>TP</v>
      </c>
      <c r="H13" s="36">
        <f>+(WEN!J177+WES!J177)/(WEN!J174+WES!J174)</f>
        <v>0.9922095304332046</v>
      </c>
      <c r="I13" s="21"/>
      <c r="J13" s="21">
        <f>+H13*E13</f>
        <v>66343882.18607768</v>
      </c>
      <c r="K13" s="16"/>
      <c r="L13" s="16"/>
      <c r="M13" s="162"/>
      <c r="N13" s="162"/>
      <c r="O13" s="162"/>
      <c r="P13" s="162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</row>
    <row r="14" spans="1:63" ht="15">
      <c r="A14" s="75">
        <v>4</v>
      </c>
      <c r="C14" s="59" t="s">
        <v>201</v>
      </c>
      <c r="D14" s="21"/>
      <c r="E14" s="104">
        <f>+WEN!E14+WES!E14</f>
        <v>0</v>
      </c>
      <c r="F14" s="21"/>
      <c r="G14" s="21" t="str">
        <f t="shared" si="0"/>
        <v>TP</v>
      </c>
      <c r="H14" s="36">
        <f t="shared" si="0"/>
        <v>0.9922095304332046</v>
      </c>
      <c r="I14" s="21"/>
      <c r="J14" s="21">
        <f>+H14*E14</f>
        <v>0</v>
      </c>
      <c r="K14" s="16"/>
      <c r="L14" s="16"/>
      <c r="M14" s="162"/>
      <c r="N14" s="162"/>
      <c r="O14" s="162"/>
      <c r="P14" s="162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</row>
    <row r="15" spans="1:63" ht="15.75" thickBot="1">
      <c r="A15" s="75">
        <v>5</v>
      </c>
      <c r="C15" s="59" t="s">
        <v>202</v>
      </c>
      <c r="D15" s="21"/>
      <c r="E15" s="104">
        <f>+WEN!E15+WES!E15</f>
        <v>0</v>
      </c>
      <c r="F15" s="21"/>
      <c r="G15" s="21" t="str">
        <f t="shared" si="0"/>
        <v>TP</v>
      </c>
      <c r="H15" s="36">
        <f t="shared" si="0"/>
        <v>0.9922095304332046</v>
      </c>
      <c r="I15" s="21"/>
      <c r="J15" s="68">
        <f>+H15*E15</f>
        <v>0</v>
      </c>
      <c r="K15" s="16"/>
      <c r="L15" s="16"/>
      <c r="M15" s="162"/>
      <c r="N15" s="162"/>
      <c r="O15" s="162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</row>
    <row r="16" spans="1:63" ht="15">
      <c r="A16" s="75">
        <v>6</v>
      </c>
      <c r="C16" s="18" t="s">
        <v>191</v>
      </c>
      <c r="D16" s="16"/>
      <c r="E16" s="33" t="s">
        <v>2</v>
      </c>
      <c r="F16" s="21"/>
      <c r="G16" s="21"/>
      <c r="H16" s="36"/>
      <c r="I16" s="21"/>
      <c r="J16" s="21">
        <f>SUM(J12:J15)</f>
        <v>70393051.43979092</v>
      </c>
      <c r="K16" s="16"/>
      <c r="L16" s="16"/>
      <c r="M16" s="162"/>
      <c r="N16" s="162"/>
      <c r="O16" s="162"/>
      <c r="P16" s="162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</row>
    <row r="17" spans="1:63" ht="15">
      <c r="A17" s="75"/>
      <c r="D17" s="16"/>
      <c r="E17" s="21" t="s">
        <v>2</v>
      </c>
      <c r="F17" s="16"/>
      <c r="G17" s="16"/>
      <c r="H17" s="36"/>
      <c r="I17" s="16"/>
      <c r="K17" s="16"/>
      <c r="L17" s="16"/>
      <c r="M17" s="162"/>
      <c r="N17" s="162"/>
      <c r="O17" s="162"/>
      <c r="P17" s="162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</row>
    <row r="18" spans="1:63" ht="15">
      <c r="A18" s="75"/>
      <c r="C18" s="18"/>
      <c r="D18" s="16"/>
      <c r="E18" s="28"/>
      <c r="F18" s="28"/>
      <c r="G18" s="28"/>
      <c r="H18" s="28"/>
      <c r="I18" s="28"/>
      <c r="J18" s="21"/>
      <c r="K18" s="16"/>
      <c r="L18" s="16"/>
      <c r="M18" s="162"/>
      <c r="N18" s="162"/>
      <c r="O18" s="162"/>
      <c r="P18" s="162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</row>
    <row r="19" spans="1:63" ht="15.75" thickBot="1">
      <c r="A19" s="75">
        <v>7</v>
      </c>
      <c r="C19" s="18" t="s">
        <v>14</v>
      </c>
      <c r="D19" s="16" t="s">
        <v>218</v>
      </c>
      <c r="E19" s="33" t="s">
        <v>2</v>
      </c>
      <c r="F19" s="21"/>
      <c r="G19" s="21"/>
      <c r="H19" s="21"/>
      <c r="I19" s="21"/>
      <c r="J19" s="78">
        <f>+J8-J16</f>
        <v>77221132.55899934</v>
      </c>
      <c r="K19" s="16"/>
      <c r="L19" s="16"/>
      <c r="M19" s="162"/>
      <c r="N19" s="162"/>
      <c r="O19" s="162"/>
      <c r="P19" s="162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</row>
    <row r="20" spans="1:63" ht="15.75" thickTop="1">
      <c r="A20" s="75"/>
      <c r="D20" s="16"/>
      <c r="E20" s="33"/>
      <c r="F20" s="21"/>
      <c r="G20" s="21"/>
      <c r="H20" s="21"/>
      <c r="I20" s="21"/>
      <c r="K20" s="16"/>
      <c r="L20" s="16"/>
      <c r="M20" s="162"/>
      <c r="N20" s="162"/>
      <c r="O20" s="162"/>
      <c r="P20" s="162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</row>
    <row r="21" spans="1:63" ht="15">
      <c r="A21" s="75"/>
      <c r="D21" s="21"/>
      <c r="E21" s="28"/>
      <c r="F21" s="28"/>
      <c r="G21" s="28"/>
      <c r="H21" s="28"/>
      <c r="I21" s="28"/>
      <c r="J21" s="21"/>
      <c r="K21" s="16"/>
      <c r="L21" s="16"/>
      <c r="M21" s="162"/>
      <c r="N21" s="162"/>
      <c r="O21" s="162"/>
      <c r="P21" s="162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</row>
    <row r="22" spans="1:63" ht="15">
      <c r="A22" s="75"/>
      <c r="C22" s="18" t="s">
        <v>15</v>
      </c>
      <c r="D22" s="16"/>
      <c r="E22" s="17"/>
      <c r="F22" s="16"/>
      <c r="G22" s="16"/>
      <c r="H22" s="16"/>
      <c r="I22" s="16"/>
      <c r="J22" s="17"/>
      <c r="K22" s="16"/>
      <c r="L22" s="16"/>
      <c r="M22" s="162"/>
      <c r="N22" s="162"/>
      <c r="O22" s="162"/>
      <c r="P22" s="162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</row>
    <row r="23" spans="1:63" ht="15">
      <c r="A23" s="75">
        <v>8</v>
      </c>
      <c r="C23" s="18" t="s">
        <v>401</v>
      </c>
      <c r="D23" s="28"/>
      <c r="E23" s="17"/>
      <c r="F23" s="16"/>
      <c r="G23" s="16"/>
      <c r="H23" s="117" t="s">
        <v>16</v>
      </c>
      <c r="I23" s="16"/>
      <c r="J23" s="108">
        <f>H64</f>
        <v>3354416.6666666665</v>
      </c>
      <c r="K23" s="16"/>
      <c r="L23" s="16"/>
      <c r="M23" s="162"/>
      <c r="O23" s="162"/>
      <c r="P23" s="162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</row>
    <row r="24" spans="1:63" ht="15">
      <c r="A24" s="75">
        <v>9</v>
      </c>
      <c r="C24" s="18" t="s">
        <v>216</v>
      </c>
      <c r="D24" s="21"/>
      <c r="E24" s="21"/>
      <c r="F24" s="21"/>
      <c r="G24" s="21"/>
      <c r="H24" s="58" t="s">
        <v>17</v>
      </c>
      <c r="I24" s="21"/>
      <c r="J24" s="108">
        <v>0</v>
      </c>
      <c r="K24" s="16"/>
      <c r="L24" s="16"/>
      <c r="M24" s="162"/>
      <c r="O24" s="162"/>
      <c r="P24" s="162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</row>
    <row r="25" spans="1:63" ht="15">
      <c r="A25" s="75">
        <v>10</v>
      </c>
      <c r="C25" s="59" t="s">
        <v>217</v>
      </c>
      <c r="D25" s="16"/>
      <c r="E25" s="16"/>
      <c r="F25" s="16"/>
      <c r="H25" s="117" t="s">
        <v>18</v>
      </c>
      <c r="I25" s="16"/>
      <c r="J25" s="108">
        <v>0</v>
      </c>
      <c r="K25" s="16"/>
      <c r="L25" s="16"/>
      <c r="M25" s="162"/>
      <c r="O25" s="162"/>
      <c r="P25" s="162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</row>
    <row r="26" spans="1:63" ht="15">
      <c r="A26" s="75">
        <v>11</v>
      </c>
      <c r="C26" s="18" t="s">
        <v>402</v>
      </c>
      <c r="D26" s="16"/>
      <c r="E26" s="16"/>
      <c r="F26" s="16"/>
      <c r="H26" s="117" t="s">
        <v>19</v>
      </c>
      <c r="I26" s="16"/>
      <c r="J26" s="110">
        <f>H65</f>
        <v>-99916.66666666667</v>
      </c>
      <c r="K26" s="16"/>
      <c r="L26" s="16"/>
      <c r="M26" s="162"/>
      <c r="O26" s="162"/>
      <c r="P26" s="162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</row>
    <row r="27" spans="1:63" ht="15">
      <c r="A27" s="75">
        <v>12</v>
      </c>
      <c r="C27" s="59" t="s">
        <v>403</v>
      </c>
      <c r="D27" s="16"/>
      <c r="E27" s="16"/>
      <c r="F27" s="16"/>
      <c r="G27" s="16"/>
      <c r="H27" s="51"/>
      <c r="I27" s="16"/>
      <c r="J27" s="110">
        <f>'Account 456 Analysis'!E22*1000</f>
        <v>691250.0000000001</v>
      </c>
      <c r="K27" s="16"/>
      <c r="L27" s="16"/>
      <c r="M27" s="162"/>
      <c r="O27" s="162"/>
      <c r="P27" s="162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</row>
    <row r="28" spans="1:63" ht="15">
      <c r="A28" s="75">
        <v>13</v>
      </c>
      <c r="C28" s="59" t="s">
        <v>255</v>
      </c>
      <c r="D28" s="16"/>
      <c r="E28" s="16"/>
      <c r="F28" s="16"/>
      <c r="G28" s="16"/>
      <c r="H28" s="117"/>
      <c r="I28" s="16"/>
      <c r="J28" s="110">
        <v>0</v>
      </c>
      <c r="K28" s="16"/>
      <c r="L28" s="16"/>
      <c r="M28" s="162"/>
      <c r="O28" s="162"/>
      <c r="P28" s="162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</row>
    <row r="29" spans="1:63" ht="15.75" thickBot="1">
      <c r="A29" s="75">
        <v>14</v>
      </c>
      <c r="C29" s="59" t="s">
        <v>245</v>
      </c>
      <c r="D29" s="16"/>
      <c r="E29" s="16"/>
      <c r="F29" s="16"/>
      <c r="G29" s="16"/>
      <c r="H29" s="51"/>
      <c r="I29" s="16"/>
      <c r="J29" s="109">
        <v>0</v>
      </c>
      <c r="K29" s="16"/>
      <c r="L29" s="16"/>
      <c r="M29" s="162"/>
      <c r="O29" s="162"/>
      <c r="P29" s="162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</row>
    <row r="30" spans="1:63" ht="15">
      <c r="A30" s="75">
        <v>15</v>
      </c>
      <c r="C30" s="49" t="s">
        <v>203</v>
      </c>
      <c r="D30" s="16"/>
      <c r="E30" s="16"/>
      <c r="F30" s="16"/>
      <c r="G30" s="16"/>
      <c r="H30" s="16"/>
      <c r="I30" s="16"/>
      <c r="J30" s="17">
        <f>SUM(J23:J28)</f>
        <v>3945750</v>
      </c>
      <c r="K30" s="16"/>
      <c r="L30" s="16"/>
      <c r="M30" s="162"/>
      <c r="N30" s="162"/>
      <c r="O30" s="162"/>
      <c r="P30" s="162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</row>
    <row r="31" spans="1:63" ht="15">
      <c r="A31" s="75"/>
      <c r="C31" s="18"/>
      <c r="D31" s="16"/>
      <c r="E31" s="16"/>
      <c r="F31" s="16"/>
      <c r="G31" s="16"/>
      <c r="H31" s="16"/>
      <c r="I31" s="16"/>
      <c r="J31" s="17"/>
      <c r="K31" s="16"/>
      <c r="L31" s="16"/>
      <c r="M31" s="162"/>
      <c r="N31" s="162"/>
      <c r="O31" s="162"/>
      <c r="P31" s="162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</row>
    <row r="32" spans="1:63" ht="15">
      <c r="A32" s="75">
        <v>16</v>
      </c>
      <c r="C32" s="18" t="s">
        <v>20</v>
      </c>
      <c r="D32" s="16" t="s">
        <v>204</v>
      </c>
      <c r="E32" s="42">
        <f>IF(J30&gt;0,J19/J30,0)</f>
        <v>19.57071090641813</v>
      </c>
      <c r="F32" s="16"/>
      <c r="G32" s="16"/>
      <c r="H32" s="16"/>
      <c r="I32" s="16"/>
      <c r="J32" s="28"/>
      <c r="K32" s="16"/>
      <c r="L32" s="16"/>
      <c r="M32" s="162"/>
      <c r="N32" s="162"/>
      <c r="O32" s="162"/>
      <c r="P32" s="162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</row>
    <row r="33" spans="1:63" ht="15">
      <c r="A33" s="75">
        <v>17</v>
      </c>
      <c r="C33" s="18" t="s">
        <v>192</v>
      </c>
      <c r="D33" s="16" t="s">
        <v>205</v>
      </c>
      <c r="E33" s="42">
        <f>+E32/12</f>
        <v>1.6308925755348442</v>
      </c>
      <c r="F33" s="16"/>
      <c r="G33" s="16"/>
      <c r="H33" s="16"/>
      <c r="I33" s="16"/>
      <c r="J33" s="28"/>
      <c r="K33" s="16"/>
      <c r="L33" s="16"/>
      <c r="M33" s="162"/>
      <c r="N33" s="162"/>
      <c r="O33" s="162"/>
      <c r="P33" s="162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</row>
    <row r="34" spans="1:63" ht="15">
      <c r="A34" s="75"/>
      <c r="C34" s="18"/>
      <c r="D34" s="16"/>
      <c r="E34" s="42"/>
      <c r="F34" s="16"/>
      <c r="G34" s="16"/>
      <c r="H34" s="16"/>
      <c r="I34" s="16"/>
      <c r="J34" s="28"/>
      <c r="K34" s="16"/>
      <c r="L34" s="16"/>
      <c r="M34" s="162"/>
      <c r="N34" s="162"/>
      <c r="O34" s="162"/>
      <c r="P34" s="162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</row>
    <row r="35" spans="1:63" ht="15">
      <c r="A35" s="75"/>
      <c r="C35" s="18"/>
      <c r="D35" s="16"/>
      <c r="E35" s="43" t="s">
        <v>21</v>
      </c>
      <c r="F35" s="16"/>
      <c r="G35" s="16"/>
      <c r="H35" s="16"/>
      <c r="I35" s="16"/>
      <c r="J35" s="35" t="s">
        <v>22</v>
      </c>
      <c r="K35" s="16"/>
      <c r="L35" s="16"/>
      <c r="M35" s="162"/>
      <c r="N35" s="162"/>
      <c r="O35" s="162"/>
      <c r="P35" s="162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</row>
    <row r="36" spans="1:63" ht="15">
      <c r="A36" s="75"/>
      <c r="C36" s="18"/>
      <c r="D36" s="16"/>
      <c r="E36" s="42"/>
      <c r="F36" s="16"/>
      <c r="G36" s="16"/>
      <c r="H36" s="16"/>
      <c r="I36" s="16"/>
      <c r="J36" s="28"/>
      <c r="K36" s="16"/>
      <c r="L36" s="16"/>
      <c r="M36" s="162"/>
      <c r="N36" s="162"/>
      <c r="O36" s="162"/>
      <c r="P36" s="162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</row>
    <row r="37" spans="1:63" ht="15">
      <c r="A37" s="75">
        <v>18</v>
      </c>
      <c r="C37" s="18" t="s">
        <v>23</v>
      </c>
      <c r="D37" s="19" t="s">
        <v>206</v>
      </c>
      <c r="E37" s="42">
        <f>+E32/52</f>
        <v>0.3763598251234256</v>
      </c>
      <c r="F37" s="16"/>
      <c r="G37" s="16"/>
      <c r="H37" s="16"/>
      <c r="I37" s="16"/>
      <c r="J37" s="44">
        <f>+E32/52</f>
        <v>0.3763598251234256</v>
      </c>
      <c r="K37" s="16"/>
      <c r="L37" s="16"/>
      <c r="M37" s="162"/>
      <c r="N37" s="162"/>
      <c r="O37" s="162"/>
      <c r="P37" s="162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</row>
    <row r="38" spans="1:63" ht="15">
      <c r="A38" s="75">
        <v>19</v>
      </c>
      <c r="C38" s="18" t="s">
        <v>24</v>
      </c>
      <c r="D38" s="19" t="s">
        <v>207</v>
      </c>
      <c r="E38" s="42">
        <f>+E37/5</f>
        <v>0.07527196502468511</v>
      </c>
      <c r="F38" s="16" t="s">
        <v>25</v>
      </c>
      <c r="G38" s="28"/>
      <c r="H38" s="16"/>
      <c r="I38" s="16"/>
      <c r="J38" s="44">
        <f>+J37/7</f>
        <v>0.05376568930334651</v>
      </c>
      <c r="K38" s="16"/>
      <c r="L38" s="16"/>
      <c r="M38" s="162"/>
      <c r="N38" s="162"/>
      <c r="O38" s="162"/>
      <c r="P38" s="162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</row>
    <row r="39" spans="1:63" ht="15">
      <c r="A39" s="75">
        <v>20</v>
      </c>
      <c r="C39" s="18" t="s">
        <v>26</v>
      </c>
      <c r="D39" s="19" t="s">
        <v>208</v>
      </c>
      <c r="E39" s="42">
        <f>+E38/16*1000</f>
        <v>4.70449781404282</v>
      </c>
      <c r="F39" s="16" t="s">
        <v>27</v>
      </c>
      <c r="G39" s="28"/>
      <c r="H39" s="16"/>
      <c r="I39" s="16"/>
      <c r="J39" s="44">
        <f>+J38/24*1000</f>
        <v>2.2402370543061045</v>
      </c>
      <c r="K39" s="16"/>
      <c r="L39" s="16" t="s">
        <v>2</v>
      </c>
      <c r="M39" s="162"/>
      <c r="N39" s="162"/>
      <c r="O39" s="162"/>
      <c r="P39" s="162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</row>
    <row r="40" spans="1:63" ht="15">
      <c r="A40" s="75"/>
      <c r="C40" s="18"/>
      <c r="D40" s="16" t="s">
        <v>28</v>
      </c>
      <c r="E40" s="16"/>
      <c r="F40" s="16" t="s">
        <v>29</v>
      </c>
      <c r="G40" s="28"/>
      <c r="H40" s="16"/>
      <c r="I40" s="16"/>
      <c r="J40" s="28"/>
      <c r="K40" s="16"/>
      <c r="L40" s="16" t="s">
        <v>2</v>
      </c>
      <c r="M40" s="162"/>
      <c r="N40" s="162"/>
      <c r="O40" s="162"/>
      <c r="P40" s="162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</row>
    <row r="41" spans="1:63" ht="15">
      <c r="A41" s="75"/>
      <c r="C41" s="18"/>
      <c r="D41" s="16"/>
      <c r="E41" s="16"/>
      <c r="F41" s="16"/>
      <c r="G41" s="28"/>
      <c r="H41" s="16"/>
      <c r="I41" s="16"/>
      <c r="J41" s="28"/>
      <c r="K41" s="16"/>
      <c r="L41" s="16" t="s">
        <v>2</v>
      </c>
      <c r="M41" s="162"/>
      <c r="N41" s="162"/>
      <c r="O41" s="162"/>
      <c r="P41" s="162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</row>
    <row r="42" spans="1:63" ht="15">
      <c r="A42" s="75">
        <v>21</v>
      </c>
      <c r="C42" s="18" t="s">
        <v>30</v>
      </c>
      <c r="D42" s="16" t="s">
        <v>355</v>
      </c>
      <c r="F42" s="72"/>
      <c r="G42" s="72"/>
      <c r="H42" s="72"/>
      <c r="I42" s="72"/>
      <c r="J42" s="103">
        <f>(210003.5+95734.5)/7303882</f>
        <v>0.041859657645071484</v>
      </c>
      <c r="K42" s="72" t="s">
        <v>2</v>
      </c>
      <c r="L42" s="16"/>
      <c r="M42" s="162"/>
      <c r="N42" s="162"/>
      <c r="O42" s="162"/>
      <c r="P42" s="162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</row>
    <row r="43" spans="1:63" ht="15">
      <c r="A43" s="75">
        <v>22</v>
      </c>
      <c r="C43" s="18"/>
      <c r="D43" s="16"/>
      <c r="F43" s="72"/>
      <c r="G43" s="72"/>
      <c r="H43" s="72"/>
      <c r="I43" s="72"/>
      <c r="J43" s="244" t="s">
        <v>2</v>
      </c>
      <c r="K43" s="72" t="s">
        <v>2</v>
      </c>
      <c r="L43" s="16"/>
      <c r="M43" s="162"/>
      <c r="N43" s="162"/>
      <c r="O43" s="162"/>
      <c r="P43" s="162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</row>
    <row r="44" spans="11:63" ht="15">
      <c r="K44" s="73"/>
      <c r="L44" s="16"/>
      <c r="M44" s="162"/>
      <c r="N44" s="162"/>
      <c r="O44" s="162"/>
      <c r="P44" s="162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</row>
    <row r="45" spans="1:63" ht="15">
      <c r="A45" s="75">
        <v>23</v>
      </c>
      <c r="C45" t="s">
        <v>335</v>
      </c>
      <c r="D45" t="s">
        <v>336</v>
      </c>
      <c r="J45" s="219">
        <f>+WEN!J80+WES!J80</f>
        <v>365817163.39273804</v>
      </c>
      <c r="K45" s="73"/>
      <c r="L45" s="16"/>
      <c r="M45" s="162"/>
      <c r="N45" s="162"/>
      <c r="O45" s="221" t="s">
        <v>2</v>
      </c>
      <c r="P45" s="162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</row>
    <row r="46" spans="3:63" ht="15">
      <c r="C46" s="18" t="s">
        <v>2</v>
      </c>
      <c r="D46" s="16"/>
      <c r="E46" s="16" t="s">
        <v>31</v>
      </c>
      <c r="F46" s="16"/>
      <c r="G46" s="16"/>
      <c r="H46" s="16"/>
      <c r="I46" s="16"/>
      <c r="J46" s="45" t="s">
        <v>2</v>
      </c>
      <c r="K46" s="16"/>
      <c r="L46" s="16"/>
      <c r="M46" s="162"/>
      <c r="N46" s="162"/>
      <c r="O46" s="162"/>
      <c r="P46" s="162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</row>
    <row r="47" spans="1:63" ht="15">
      <c r="A47" s="75">
        <v>24</v>
      </c>
      <c r="C47" s="18" t="s">
        <v>337</v>
      </c>
      <c r="D47" s="16" t="s">
        <v>338</v>
      </c>
      <c r="E47" s="16"/>
      <c r="F47" s="16"/>
      <c r="G47" s="16"/>
      <c r="H47" s="16"/>
      <c r="I47" s="16"/>
      <c r="J47" s="220">
        <f>+J19/J45</f>
        <v>0.21109215281978289</v>
      </c>
      <c r="K47" s="16"/>
      <c r="L47" s="16"/>
      <c r="M47" s="162"/>
      <c r="N47" s="162"/>
      <c r="O47" s="162"/>
      <c r="P47" s="162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</row>
    <row r="48" spans="3:63" ht="15">
      <c r="C48" s="18"/>
      <c r="D48" s="16"/>
      <c r="E48" s="16"/>
      <c r="F48" s="16"/>
      <c r="G48" s="16"/>
      <c r="H48" s="16"/>
      <c r="I48" s="16"/>
      <c r="J48" s="45"/>
      <c r="K48" s="16"/>
      <c r="L48" s="16"/>
      <c r="M48" s="162"/>
      <c r="N48" s="162"/>
      <c r="O48" s="162"/>
      <c r="P48" s="162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</row>
    <row r="49" spans="1:63" ht="15">
      <c r="A49" s="326">
        <v>25</v>
      </c>
      <c r="B49" s="143"/>
      <c r="C49" s="154" t="s">
        <v>463</v>
      </c>
      <c r="D49" s="142" t="s">
        <v>464</v>
      </c>
      <c r="E49" s="142"/>
      <c r="F49" s="142"/>
      <c r="G49" s="142"/>
      <c r="H49" s="142"/>
      <c r="I49" s="142"/>
      <c r="J49" s="327">
        <f>+J47/12</f>
        <v>0.01759101273498191</v>
      </c>
      <c r="K49" s="16"/>
      <c r="L49" s="16"/>
      <c r="M49" s="162"/>
      <c r="N49" s="162"/>
      <c r="O49" s="162"/>
      <c r="P49" s="162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</row>
    <row r="50" spans="1:63" ht="20.25">
      <c r="A50" s="181"/>
      <c r="B50" s="182"/>
      <c r="C50" s="183"/>
      <c r="D50" s="183"/>
      <c r="E50" s="183"/>
      <c r="F50" s="183"/>
      <c r="G50" s="183"/>
      <c r="H50" s="183"/>
      <c r="I50" s="183"/>
      <c r="J50" s="325" t="str">
        <f>+J1</f>
        <v>Statement BK</v>
      </c>
      <c r="K50" s="183"/>
      <c r="L50" s="183"/>
      <c r="M50" s="5"/>
      <c r="N50" s="5"/>
      <c r="O50" s="5"/>
      <c r="P50" s="5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</row>
    <row r="51" spans="1:63" ht="20.25">
      <c r="A51" s="184"/>
      <c r="B51" s="182"/>
      <c r="C51" s="185"/>
      <c r="D51" s="182"/>
      <c r="E51" s="182"/>
      <c r="F51" s="182"/>
      <c r="G51" s="182"/>
      <c r="H51" s="182"/>
      <c r="I51" s="182"/>
      <c r="J51" s="325" t="s">
        <v>507</v>
      </c>
      <c r="K51" s="182"/>
      <c r="L51" s="182"/>
      <c r="M51" s="193" t="s">
        <v>2</v>
      </c>
      <c r="N51" s="6"/>
      <c r="O51" s="6"/>
      <c r="P51" s="216" t="s">
        <v>2</v>
      </c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</row>
    <row r="52" spans="1:19" ht="20.25">
      <c r="A52" s="184"/>
      <c r="B52" s="182"/>
      <c r="C52" s="182"/>
      <c r="D52" s="182"/>
      <c r="E52" s="182"/>
      <c r="F52" s="182"/>
      <c r="G52" s="182"/>
      <c r="H52" s="182"/>
      <c r="I52" s="51" t="s">
        <v>270</v>
      </c>
      <c r="J52" s="325"/>
      <c r="K52" s="182"/>
      <c r="L52" s="182"/>
      <c r="M52" s="193"/>
      <c r="N52" s="6"/>
      <c r="O52" s="6"/>
      <c r="P52" s="6"/>
      <c r="Q52" s="6"/>
      <c r="R52" s="6"/>
      <c r="S52" s="6"/>
    </row>
    <row r="53" spans="1:19" ht="20.25">
      <c r="A53" s="184"/>
      <c r="B53" s="182"/>
      <c r="C53" s="182"/>
      <c r="D53" s="182"/>
      <c r="E53" s="181" t="str">
        <f>+E4</f>
        <v>WESTAR ENERGY, INC.</v>
      </c>
      <c r="F53" s="182"/>
      <c r="G53" s="182"/>
      <c r="H53" s="182"/>
      <c r="I53" s="182"/>
      <c r="J53" s="325" t="str">
        <f>+J4</f>
        <v>Page 1 of 1</v>
      </c>
      <c r="K53" s="182"/>
      <c r="L53" s="182"/>
      <c r="M53" s="193"/>
      <c r="N53" s="6"/>
      <c r="O53" s="6"/>
      <c r="P53" s="6"/>
      <c r="Q53" s="6"/>
      <c r="R53" s="6"/>
      <c r="S53" s="6"/>
    </row>
    <row r="54" spans="1:19" ht="20.25">
      <c r="A54" s="184"/>
      <c r="B54" s="182"/>
      <c r="C54" s="182"/>
      <c r="D54" s="182"/>
      <c r="E54" s="181" t="str">
        <f>+E5</f>
        <v>(WESTAR)</v>
      </c>
      <c r="F54" s="182"/>
      <c r="G54" s="182"/>
      <c r="H54" s="182"/>
      <c r="I54" s="182"/>
      <c r="J54" s="182"/>
      <c r="K54" s="182"/>
      <c r="L54" s="182"/>
      <c r="M54" s="193"/>
      <c r="N54" s="6"/>
      <c r="O54" s="6"/>
      <c r="P54" s="6"/>
      <c r="Q54" s="6"/>
      <c r="R54" s="6"/>
      <c r="S54" s="6"/>
    </row>
    <row r="55" spans="1:19" ht="20.25">
      <c r="A55" s="184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93"/>
      <c r="N55" s="6"/>
      <c r="O55" s="6"/>
      <c r="P55" s="6"/>
      <c r="Q55" s="6"/>
      <c r="R55" s="6"/>
      <c r="S55" s="6"/>
    </row>
    <row r="56" spans="1:19" ht="20.25">
      <c r="A56" s="184"/>
      <c r="B56" s="182"/>
      <c r="C56" s="192"/>
      <c r="D56" s="187"/>
      <c r="E56" s="281" t="s">
        <v>346</v>
      </c>
      <c r="F56" s="187"/>
      <c r="G56" s="187"/>
      <c r="H56" s="187"/>
      <c r="I56" s="187"/>
      <c r="J56" s="182"/>
      <c r="K56" s="182"/>
      <c r="L56" s="192"/>
      <c r="M56" s="193"/>
      <c r="N56" s="6"/>
      <c r="O56" s="6"/>
      <c r="P56" s="6"/>
      <c r="Q56" s="6"/>
      <c r="R56" s="6"/>
      <c r="S56" s="6"/>
    </row>
    <row r="57" spans="1:19" ht="20.25">
      <c r="A57" s="184"/>
      <c r="B57" s="182"/>
      <c r="C57" s="186"/>
      <c r="D57" s="187"/>
      <c r="E57" s="187"/>
      <c r="F57" s="182"/>
      <c r="G57" s="182"/>
      <c r="H57" s="182"/>
      <c r="I57" s="182"/>
      <c r="J57" s="182"/>
      <c r="K57" s="182"/>
      <c r="L57" s="192"/>
      <c r="M57" s="193"/>
      <c r="N57" s="6"/>
      <c r="O57" s="6"/>
      <c r="P57" s="6"/>
      <c r="Q57" s="6"/>
      <c r="R57" s="6"/>
      <c r="S57" s="6"/>
    </row>
    <row r="58" spans="1:19" ht="53.25" customHeight="1">
      <c r="A58" s="211" t="s">
        <v>328</v>
      </c>
      <c r="B58" s="223"/>
      <c r="C58" s="186"/>
      <c r="D58" s="187"/>
      <c r="E58" s="197"/>
      <c r="G58" s="180"/>
      <c r="H58" s="207" t="s">
        <v>321</v>
      </c>
      <c r="I58" s="182"/>
      <c r="J58" s="206"/>
      <c r="K58" s="206"/>
      <c r="L58" s="211"/>
      <c r="M58" s="193"/>
      <c r="N58" s="6"/>
      <c r="O58" s="6"/>
      <c r="P58" s="207"/>
      <c r="Q58" s="6"/>
      <c r="R58" s="6"/>
      <c r="S58" s="6"/>
    </row>
    <row r="59" spans="1:19" ht="20.25">
      <c r="A59" s="189"/>
      <c r="B59" s="182"/>
      <c r="C59" s="191" t="s">
        <v>331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93"/>
      <c r="N59" s="6"/>
      <c r="O59" s="6"/>
      <c r="P59" s="6"/>
      <c r="Q59" s="6"/>
      <c r="R59" s="6"/>
      <c r="S59" s="6"/>
    </row>
    <row r="60" spans="1:19" ht="20.25">
      <c r="A60" s="184"/>
      <c r="B60" s="182"/>
      <c r="C60" s="182" t="s">
        <v>322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93"/>
      <c r="N60" s="6"/>
      <c r="O60" s="6"/>
      <c r="P60" s="6"/>
      <c r="Q60" s="6"/>
      <c r="R60" s="6"/>
      <c r="S60" s="6"/>
    </row>
    <row r="61" spans="1:19" ht="20.25">
      <c r="A61" s="184" t="s">
        <v>326</v>
      </c>
      <c r="B61" s="182"/>
      <c r="C61" s="182" t="s">
        <v>325</v>
      </c>
      <c r="D61" s="182" t="s">
        <v>404</v>
      </c>
      <c r="F61" s="182"/>
      <c r="G61" s="182"/>
      <c r="H61" s="205">
        <f>+'Account 456 Analysis'!E20</f>
        <v>66864790.29999998</v>
      </c>
      <c r="I61" s="182"/>
      <c r="J61" s="182"/>
      <c r="K61" s="182"/>
      <c r="L61" s="182"/>
      <c r="M61" s="193"/>
      <c r="N61" s="6"/>
      <c r="O61" s="6"/>
      <c r="P61" s="6"/>
      <c r="Q61" s="6"/>
      <c r="R61" s="6"/>
      <c r="S61" s="6"/>
    </row>
    <row r="62" spans="1:19" ht="20.25">
      <c r="A62" s="184"/>
      <c r="B62" s="182"/>
      <c r="C62" s="182" t="s">
        <v>2</v>
      </c>
      <c r="D62" s="182"/>
      <c r="E62" s="190"/>
      <c r="F62" s="182"/>
      <c r="G62" s="182"/>
      <c r="H62" s="182"/>
      <c r="I62" s="182"/>
      <c r="J62" s="182"/>
      <c r="K62" s="182"/>
      <c r="L62" s="182"/>
      <c r="M62" s="193"/>
      <c r="N62" s="6"/>
      <c r="O62" s="6"/>
      <c r="P62" s="6"/>
      <c r="Q62" s="6"/>
      <c r="R62" s="6"/>
      <c r="S62" s="6"/>
    </row>
    <row r="63" spans="1:19" ht="20.25">
      <c r="A63" s="184"/>
      <c r="B63" s="182"/>
      <c r="C63" s="182" t="s">
        <v>323</v>
      </c>
      <c r="D63" s="182"/>
      <c r="E63" s="190"/>
      <c r="F63" s="182"/>
      <c r="G63" s="182"/>
      <c r="H63" s="182"/>
      <c r="I63" s="182"/>
      <c r="J63" s="182"/>
      <c r="K63" s="182"/>
      <c r="L63" s="182"/>
      <c r="M63" s="193"/>
      <c r="N63" s="6"/>
      <c r="O63" s="6"/>
      <c r="P63" s="6"/>
      <c r="Q63" s="6"/>
      <c r="R63" s="6"/>
      <c r="S63" s="6"/>
    </row>
    <row r="64" spans="1:19" ht="20.25" customHeight="1">
      <c r="A64" s="184" t="s">
        <v>2</v>
      </c>
      <c r="B64" s="182"/>
      <c r="C64" s="182" t="s">
        <v>436</v>
      </c>
      <c r="D64" s="182"/>
      <c r="F64" s="182"/>
      <c r="G64" s="182"/>
      <c r="H64" s="190">
        <f>+(E83+F83)*1000</f>
        <v>3354416.6666666665</v>
      </c>
      <c r="I64" s="182"/>
      <c r="J64" s="182"/>
      <c r="K64" s="182"/>
      <c r="L64" s="182"/>
      <c r="M64" s="193"/>
      <c r="N64" s="6"/>
      <c r="O64" s="6"/>
      <c r="P64" s="6"/>
      <c r="Q64" s="6"/>
      <c r="R64" s="6"/>
      <c r="S64" s="6"/>
    </row>
    <row r="65" spans="1:19" ht="20.25">
      <c r="A65" s="184" t="s">
        <v>2</v>
      </c>
      <c r="B65" s="182"/>
      <c r="C65" s="182" t="s">
        <v>438</v>
      </c>
      <c r="D65" s="182"/>
      <c r="F65" s="182"/>
      <c r="G65" s="182"/>
      <c r="H65" s="268">
        <f>+J83*1000</f>
        <v>-99916.66666666667</v>
      </c>
      <c r="I65" s="182"/>
      <c r="J65" s="182"/>
      <c r="K65" s="182"/>
      <c r="L65" s="182"/>
      <c r="M65" s="193"/>
      <c r="N65" s="6"/>
      <c r="O65" s="6"/>
      <c r="P65" s="6"/>
      <c r="Q65" s="6"/>
      <c r="R65" s="6"/>
      <c r="S65" s="6"/>
    </row>
    <row r="66" spans="1:19" ht="20.25">
      <c r="A66" s="184" t="s">
        <v>2</v>
      </c>
      <c r="B66" s="182"/>
      <c r="C66" s="182" t="s">
        <v>437</v>
      </c>
      <c r="D66" s="182"/>
      <c r="F66" s="182"/>
      <c r="G66" s="182"/>
      <c r="H66" s="190">
        <f>'Account 456 Analysis'!E22*1000</f>
        <v>691250.0000000001</v>
      </c>
      <c r="I66" s="182"/>
      <c r="J66" s="182"/>
      <c r="K66" s="182"/>
      <c r="L66" s="182"/>
      <c r="M66" s="193"/>
      <c r="N66" s="6"/>
      <c r="O66" s="6"/>
      <c r="P66" s="6"/>
      <c r="Q66" s="6"/>
      <c r="R66" s="6"/>
      <c r="S66" s="6"/>
    </row>
    <row r="67" spans="9:19" ht="20.25">
      <c r="I67" s="182"/>
      <c r="J67" s="182"/>
      <c r="K67" s="182"/>
      <c r="L67" s="182"/>
      <c r="M67" s="193"/>
      <c r="N67" s="6"/>
      <c r="O67" s="6"/>
      <c r="P67" s="6"/>
      <c r="Q67" s="6"/>
      <c r="R67" s="6"/>
      <c r="S67" s="6"/>
    </row>
    <row r="68" spans="3:19" ht="20.25"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6"/>
      <c r="O68" s="6"/>
      <c r="P68" s="6"/>
      <c r="Q68" s="6"/>
      <c r="R68" s="6"/>
      <c r="S68" s="6"/>
    </row>
    <row r="69" spans="3:19" ht="20.25">
      <c r="C69" s="182" t="s">
        <v>405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6"/>
      <c r="O69" s="6"/>
      <c r="P69" s="6"/>
      <c r="Q69" s="6"/>
      <c r="R69" s="6"/>
      <c r="S69" s="6"/>
    </row>
    <row r="70" spans="3:19" ht="21" thickBot="1">
      <c r="C70" s="264" t="s">
        <v>406</v>
      </c>
      <c r="D70" s="264" t="s">
        <v>439</v>
      </c>
      <c r="E70" s="264" t="s">
        <v>407</v>
      </c>
      <c r="F70" s="264" t="s">
        <v>408</v>
      </c>
      <c r="G70" s="264"/>
      <c r="H70" s="264" t="s">
        <v>409</v>
      </c>
      <c r="I70" s="264"/>
      <c r="J70" s="264" t="s">
        <v>289</v>
      </c>
      <c r="K70" s="182"/>
      <c r="L70" s="182"/>
      <c r="M70" s="182"/>
      <c r="N70" s="6"/>
      <c r="O70" s="6"/>
      <c r="P70" s="6"/>
      <c r="Q70" s="6"/>
      <c r="R70" s="6"/>
      <c r="S70" s="6"/>
    </row>
    <row r="71" spans="3:19" ht="20.25">
      <c r="C71" s="181" t="s">
        <v>410</v>
      </c>
      <c r="D71" s="181" t="s">
        <v>434</v>
      </c>
      <c r="E71" s="262">
        <v>1611</v>
      </c>
      <c r="F71" s="262">
        <v>1391</v>
      </c>
      <c r="G71" s="262"/>
      <c r="H71" s="262">
        <f>SUM(E71:F71)</f>
        <v>3002</v>
      </c>
      <c r="I71" s="262"/>
      <c r="J71" s="262">
        <v>-106</v>
      </c>
      <c r="K71" s="182"/>
      <c r="L71" s="182"/>
      <c r="M71" s="182"/>
      <c r="N71" s="6"/>
      <c r="O71" s="6"/>
      <c r="P71" s="6"/>
      <c r="Q71" s="6"/>
      <c r="R71" s="6"/>
      <c r="S71" s="6"/>
    </row>
    <row r="72" spans="3:19" ht="20.25">
      <c r="C72" s="181" t="s">
        <v>411</v>
      </c>
      <c r="D72" s="181" t="s">
        <v>424</v>
      </c>
      <c r="E72" s="262">
        <v>1544</v>
      </c>
      <c r="F72" s="262">
        <v>1315</v>
      </c>
      <c r="G72" s="262"/>
      <c r="H72" s="262">
        <f aca="true" t="shared" si="1" ref="H72:H82">SUM(E72:F72)</f>
        <v>2859</v>
      </c>
      <c r="I72" s="262"/>
      <c r="J72" s="262">
        <v>-106</v>
      </c>
      <c r="K72" s="182"/>
      <c r="L72" s="182"/>
      <c r="M72" s="182"/>
      <c r="N72" s="6"/>
      <c r="O72" s="6"/>
      <c r="P72" s="6"/>
      <c r="Q72" s="6"/>
      <c r="R72" s="6"/>
      <c r="S72" s="6"/>
    </row>
    <row r="73" spans="3:19" ht="20.25">
      <c r="C73" s="181" t="s">
        <v>412</v>
      </c>
      <c r="D73" s="181" t="s">
        <v>425</v>
      </c>
      <c r="E73" s="262">
        <v>1402</v>
      </c>
      <c r="F73" s="262">
        <v>1250</v>
      </c>
      <c r="G73" s="262"/>
      <c r="H73" s="262">
        <f t="shared" si="1"/>
        <v>2652</v>
      </c>
      <c r="I73" s="262"/>
      <c r="J73" s="262">
        <v>-106</v>
      </c>
      <c r="K73" s="182"/>
      <c r="L73" s="182"/>
      <c r="M73" s="182"/>
      <c r="N73" s="6"/>
      <c r="O73" s="6"/>
      <c r="P73" s="6"/>
      <c r="Q73" s="6"/>
      <c r="R73" s="6"/>
      <c r="S73" s="6"/>
    </row>
    <row r="74" spans="3:19" ht="20.25">
      <c r="C74" s="181" t="s">
        <v>413</v>
      </c>
      <c r="D74" s="181" t="s">
        <v>426</v>
      </c>
      <c r="E74" s="262">
        <v>1419</v>
      </c>
      <c r="F74" s="262">
        <v>1281</v>
      </c>
      <c r="G74" s="262"/>
      <c r="H74" s="262">
        <f t="shared" si="1"/>
        <v>2700</v>
      </c>
      <c r="I74" s="262"/>
      <c r="J74" s="262">
        <v>-106</v>
      </c>
      <c r="K74" s="182"/>
      <c r="L74" s="182"/>
      <c r="M74" s="182"/>
      <c r="N74" s="6"/>
      <c r="O74" s="6"/>
      <c r="P74" s="6"/>
      <c r="Q74" s="6"/>
      <c r="R74" s="6"/>
      <c r="S74" s="6"/>
    </row>
    <row r="75" spans="3:19" ht="20.25">
      <c r="C75" s="181" t="s">
        <v>414</v>
      </c>
      <c r="D75" s="181" t="s">
        <v>427</v>
      </c>
      <c r="E75" s="262">
        <v>2007</v>
      </c>
      <c r="F75" s="262">
        <v>1783</v>
      </c>
      <c r="G75" s="262"/>
      <c r="H75" s="262">
        <f t="shared" si="1"/>
        <v>3790</v>
      </c>
      <c r="I75" s="262"/>
      <c r="J75" s="262">
        <v>-106</v>
      </c>
      <c r="K75" s="182"/>
      <c r="L75" s="182"/>
      <c r="M75" s="182"/>
      <c r="N75" s="6"/>
      <c r="O75" s="6"/>
      <c r="P75" s="6"/>
      <c r="Q75" s="6"/>
      <c r="R75" s="6"/>
      <c r="S75" s="6"/>
    </row>
    <row r="76" spans="3:19" ht="20.25">
      <c r="C76" s="181" t="s">
        <v>415</v>
      </c>
      <c r="D76" s="181" t="s">
        <v>428</v>
      </c>
      <c r="E76" s="262">
        <v>2167</v>
      </c>
      <c r="F76" s="262">
        <v>1953</v>
      </c>
      <c r="G76" s="262"/>
      <c r="H76" s="262">
        <f t="shared" si="1"/>
        <v>4120</v>
      </c>
      <c r="I76" s="262"/>
      <c r="J76" s="262">
        <v>-106</v>
      </c>
      <c r="K76" s="182"/>
      <c r="L76" s="182"/>
      <c r="M76" s="182"/>
      <c r="N76" s="6"/>
      <c r="O76" s="6"/>
      <c r="P76" s="6"/>
      <c r="Q76" s="6"/>
      <c r="R76" s="6"/>
      <c r="S76" s="6"/>
    </row>
    <row r="77" spans="3:19" ht="20.25">
      <c r="C77" s="181" t="s">
        <v>416</v>
      </c>
      <c r="D77" s="181" t="s">
        <v>429</v>
      </c>
      <c r="E77" s="262">
        <v>2438</v>
      </c>
      <c r="F77" s="262">
        <v>1988</v>
      </c>
      <c r="G77" s="262"/>
      <c r="H77" s="262">
        <f t="shared" si="1"/>
        <v>4426</v>
      </c>
      <c r="I77" s="262"/>
      <c r="J77" s="262">
        <v>-106</v>
      </c>
      <c r="K77" s="182"/>
      <c r="L77" s="182"/>
      <c r="M77" s="182"/>
      <c r="N77" s="6"/>
      <c r="O77" s="6"/>
      <c r="P77" s="6"/>
      <c r="Q77" s="6"/>
      <c r="R77" s="6"/>
      <c r="S77" s="6"/>
    </row>
    <row r="78" spans="3:19" ht="20.25">
      <c r="C78" s="181" t="s">
        <v>417</v>
      </c>
      <c r="D78" s="181" t="s">
        <v>430</v>
      </c>
      <c r="E78" s="262">
        <v>2341</v>
      </c>
      <c r="F78" s="262">
        <v>2116</v>
      </c>
      <c r="G78" s="262"/>
      <c r="H78" s="262">
        <f t="shared" si="1"/>
        <v>4457</v>
      </c>
      <c r="I78" s="262"/>
      <c r="J78" s="262">
        <v>-92</v>
      </c>
      <c r="K78" s="182"/>
      <c r="L78" s="182"/>
      <c r="M78" s="182"/>
      <c r="N78" s="6"/>
      <c r="O78" s="6"/>
      <c r="P78" s="6"/>
      <c r="Q78" s="6"/>
      <c r="R78" s="6"/>
      <c r="S78" s="6"/>
    </row>
    <row r="79" spans="3:19" ht="20.25">
      <c r="C79" s="181" t="s">
        <v>418</v>
      </c>
      <c r="D79" s="181" t="s">
        <v>431</v>
      </c>
      <c r="E79" s="262">
        <v>2025</v>
      </c>
      <c r="F79" s="262">
        <v>1876</v>
      </c>
      <c r="G79" s="262"/>
      <c r="H79" s="262">
        <f t="shared" si="1"/>
        <v>3901</v>
      </c>
      <c r="I79" s="262"/>
      <c r="J79" s="262">
        <v>-91</v>
      </c>
      <c r="K79" s="182"/>
      <c r="L79" s="182"/>
      <c r="M79" s="182"/>
      <c r="N79" s="6"/>
      <c r="O79" s="6"/>
      <c r="P79" s="6"/>
      <c r="Q79" s="6"/>
      <c r="R79" s="6"/>
      <c r="S79" s="6"/>
    </row>
    <row r="80" spans="3:19" ht="20.25">
      <c r="C80" s="181" t="s">
        <v>419</v>
      </c>
      <c r="D80" s="181" t="s">
        <v>435</v>
      </c>
      <c r="E80" s="262">
        <v>1378</v>
      </c>
      <c r="F80" s="262">
        <v>1359</v>
      </c>
      <c r="G80" s="262"/>
      <c r="H80" s="262">
        <f t="shared" si="1"/>
        <v>2737</v>
      </c>
      <c r="I80" s="262"/>
      <c r="J80" s="262">
        <v>-91</v>
      </c>
      <c r="K80" s="182"/>
      <c r="L80" s="182"/>
      <c r="M80" s="182"/>
      <c r="N80" s="6"/>
      <c r="O80" s="6"/>
      <c r="P80" s="6"/>
      <c r="Q80" s="6"/>
      <c r="R80" s="6"/>
      <c r="S80" s="6"/>
    </row>
    <row r="81" spans="3:19" ht="20.25">
      <c r="C81" s="181" t="s">
        <v>420</v>
      </c>
      <c r="D81" s="181" t="s">
        <v>432</v>
      </c>
      <c r="E81" s="262">
        <v>1398</v>
      </c>
      <c r="F81" s="262">
        <v>1319</v>
      </c>
      <c r="G81" s="262"/>
      <c r="H81" s="262">
        <f t="shared" si="1"/>
        <v>2717</v>
      </c>
      <c r="I81" s="262"/>
      <c r="J81" s="262">
        <v>-91</v>
      </c>
      <c r="K81" s="182"/>
      <c r="L81" s="182"/>
      <c r="M81" s="182"/>
      <c r="N81" s="6"/>
      <c r="O81" s="6"/>
      <c r="P81" s="6"/>
      <c r="Q81" s="6"/>
      <c r="R81" s="6"/>
      <c r="S81" s="6"/>
    </row>
    <row r="82" spans="3:19" ht="21" thickBot="1">
      <c r="C82" s="255" t="s">
        <v>421</v>
      </c>
      <c r="D82" s="255" t="s">
        <v>433</v>
      </c>
      <c r="E82" s="263">
        <v>1493</v>
      </c>
      <c r="F82" s="263">
        <v>1399</v>
      </c>
      <c r="G82" s="263"/>
      <c r="H82" s="263">
        <f t="shared" si="1"/>
        <v>2892</v>
      </c>
      <c r="I82" s="263"/>
      <c r="J82" s="263">
        <v>-92</v>
      </c>
      <c r="K82" s="182"/>
      <c r="L82" s="182"/>
      <c r="M82" s="182"/>
      <c r="N82" s="6"/>
      <c r="O82" s="6"/>
      <c r="P82" s="6"/>
      <c r="Q82" s="6"/>
      <c r="R82" s="6"/>
      <c r="S82" s="6"/>
    </row>
    <row r="83" spans="3:19" ht="20.25">
      <c r="C83" s="181" t="s">
        <v>422</v>
      </c>
      <c r="D83" s="181"/>
      <c r="E83" s="262">
        <f>SUM(E71:E82)/12</f>
        <v>1768.5833333333333</v>
      </c>
      <c r="F83" s="262">
        <f>SUM(F71:F82)/12</f>
        <v>1585.8333333333333</v>
      </c>
      <c r="G83" s="262"/>
      <c r="H83" s="262">
        <f>SUM(H71:H82)/12</f>
        <v>3354.4166666666665</v>
      </c>
      <c r="I83" s="262"/>
      <c r="J83" s="262">
        <f>SUM(J71:J82)/12</f>
        <v>-99.91666666666667</v>
      </c>
      <c r="K83" s="182"/>
      <c r="L83" s="182"/>
      <c r="M83" s="182"/>
      <c r="N83" s="6"/>
      <c r="O83" s="6"/>
      <c r="P83" s="6"/>
      <c r="Q83" s="6"/>
      <c r="R83" s="6"/>
      <c r="S83" s="6"/>
    </row>
    <row r="84" spans="3:19" ht="20.25"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6"/>
      <c r="O84" s="6"/>
      <c r="P84" s="6"/>
      <c r="Q84" s="6"/>
      <c r="R84" s="6"/>
      <c r="S84" s="6"/>
    </row>
    <row r="85" spans="3:19" ht="20.25">
      <c r="C85" s="182" t="s">
        <v>423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6"/>
      <c r="O85" s="6"/>
      <c r="P85" s="6"/>
      <c r="Q85" s="6"/>
      <c r="R85" s="6"/>
      <c r="S85" s="6"/>
    </row>
    <row r="86" spans="3:19" ht="20.25"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6"/>
      <c r="O86" s="6"/>
      <c r="P86" s="6"/>
      <c r="Q86" s="6"/>
      <c r="R86" s="6"/>
      <c r="S86" s="6"/>
    </row>
    <row r="87" spans="3:19" ht="20.25"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6"/>
      <c r="O87" s="6"/>
      <c r="P87" s="6"/>
      <c r="Q87" s="6"/>
      <c r="R87" s="6"/>
      <c r="S87" s="6"/>
    </row>
    <row r="88" spans="3:19" ht="20.25"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6"/>
      <c r="O88" s="6"/>
      <c r="P88" s="6"/>
      <c r="Q88" s="6"/>
      <c r="R88" s="6"/>
      <c r="S88" s="6"/>
    </row>
    <row r="89" spans="3:19" ht="20.25"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6"/>
      <c r="O89" s="6"/>
      <c r="P89" s="6"/>
      <c r="Q89" s="6"/>
      <c r="R89" s="6"/>
      <c r="S89" s="6"/>
    </row>
    <row r="90" spans="3:19" ht="20.25"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6"/>
      <c r="O90" s="6"/>
      <c r="P90" s="6"/>
      <c r="Q90" s="6"/>
      <c r="R90" s="6"/>
      <c r="S90" s="6"/>
    </row>
    <row r="91" spans="3:19" ht="20.25"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6"/>
      <c r="O91" s="6"/>
      <c r="P91" s="6"/>
      <c r="Q91" s="6"/>
      <c r="R91" s="6"/>
      <c r="S91" s="6"/>
    </row>
    <row r="92" spans="3:19" ht="20.25"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6"/>
      <c r="O92" s="6"/>
      <c r="P92" s="6"/>
      <c r="Q92" s="6"/>
      <c r="R92" s="6"/>
      <c r="S92" s="6"/>
    </row>
    <row r="93" spans="3:19" ht="20.25"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6"/>
      <c r="O93" s="6"/>
      <c r="P93" s="6"/>
      <c r="Q93" s="6"/>
      <c r="R93" s="6"/>
      <c r="S93" s="6"/>
    </row>
    <row r="94" spans="3:19" ht="20.25"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6"/>
      <c r="O94" s="6"/>
      <c r="P94" s="6"/>
      <c r="Q94" s="6"/>
      <c r="R94" s="6"/>
      <c r="S94" s="6"/>
    </row>
    <row r="95" spans="3:19" ht="20.25"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6"/>
      <c r="O95" s="6"/>
      <c r="P95" s="6"/>
      <c r="Q95" s="6"/>
      <c r="R95" s="6"/>
      <c r="S95" s="6"/>
    </row>
    <row r="96" spans="3:19" ht="20.25"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6"/>
      <c r="O96" s="6"/>
      <c r="P96" s="6"/>
      <c r="Q96" s="6"/>
      <c r="R96" s="6"/>
      <c r="S96" s="6"/>
    </row>
    <row r="97" spans="3:19" ht="20.25"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6"/>
      <c r="O97" s="6"/>
      <c r="P97" s="6"/>
      <c r="Q97" s="6"/>
      <c r="R97" s="6"/>
      <c r="S97" s="6"/>
    </row>
    <row r="98" spans="3:19" ht="20.25"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6"/>
      <c r="O98" s="6"/>
      <c r="P98" s="6"/>
      <c r="Q98" s="6"/>
      <c r="R98" s="6"/>
      <c r="S98" s="6"/>
    </row>
    <row r="99" spans="3:19" ht="20.25"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6"/>
      <c r="O99" s="6"/>
      <c r="P99" s="6"/>
      <c r="Q99" s="6"/>
      <c r="R99" s="6"/>
      <c r="S99" s="6"/>
    </row>
    <row r="100" spans="3:19" ht="20.25"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6"/>
      <c r="O100" s="6"/>
      <c r="P100" s="6"/>
      <c r="Q100" s="6"/>
      <c r="R100" s="6"/>
      <c r="S100" s="6"/>
    </row>
    <row r="101" spans="3:19" ht="20.25"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6"/>
      <c r="O101" s="6"/>
      <c r="P101" s="6"/>
      <c r="Q101" s="6"/>
      <c r="R101" s="6"/>
      <c r="S101" s="6"/>
    </row>
    <row r="102" spans="3:19" ht="20.25"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6"/>
      <c r="O102" s="6"/>
      <c r="P102" s="6"/>
      <c r="Q102" s="6"/>
      <c r="R102" s="6"/>
      <c r="S102" s="6"/>
    </row>
    <row r="103" spans="3:19" ht="20.25"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6"/>
      <c r="O103" s="6"/>
      <c r="P103" s="6"/>
      <c r="Q103" s="6"/>
      <c r="R103" s="6"/>
      <c r="S103" s="6"/>
    </row>
    <row r="104" spans="3:19" ht="20.25"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6"/>
      <c r="O104" s="6"/>
      <c r="P104" s="6"/>
      <c r="Q104" s="6"/>
      <c r="R104" s="6"/>
      <c r="S104" s="6"/>
    </row>
    <row r="105" spans="3:19" ht="20.25"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6"/>
      <c r="O105" s="6"/>
      <c r="P105" s="6"/>
      <c r="Q105" s="6"/>
      <c r="R105" s="6"/>
      <c r="S105" s="6"/>
    </row>
    <row r="106" spans="3:19" ht="20.25"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6"/>
      <c r="O106" s="6"/>
      <c r="P106" s="6"/>
      <c r="Q106" s="6"/>
      <c r="R106" s="6"/>
      <c r="S106" s="6"/>
    </row>
    <row r="107" spans="3:19" ht="20.25"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6"/>
      <c r="O107" s="6"/>
      <c r="P107" s="6"/>
      <c r="Q107" s="6"/>
      <c r="R107" s="6"/>
      <c r="S107" s="6"/>
    </row>
    <row r="108" spans="3:19" ht="20.25"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6"/>
      <c r="O108" s="6"/>
      <c r="P108" s="6"/>
      <c r="Q108" s="6"/>
      <c r="R108" s="6"/>
      <c r="S108" s="6"/>
    </row>
    <row r="109" spans="3:19" ht="20.25"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6"/>
      <c r="O109" s="6"/>
      <c r="P109" s="6"/>
      <c r="Q109" s="6"/>
      <c r="R109" s="6"/>
      <c r="S109" s="6"/>
    </row>
    <row r="110" spans="3:19" ht="20.25"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6"/>
      <c r="O110" s="6"/>
      <c r="P110" s="6"/>
      <c r="Q110" s="6"/>
      <c r="R110" s="6"/>
      <c r="S110" s="6"/>
    </row>
    <row r="111" spans="3:19" ht="20.25"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6"/>
      <c r="O111" s="6"/>
      <c r="P111" s="6"/>
      <c r="Q111" s="6"/>
      <c r="R111" s="6"/>
      <c r="S111" s="6"/>
    </row>
    <row r="112" spans="3:19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3:19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3:19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3:19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3:19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3:19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3:19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3:19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3:19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3:19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3:19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3:19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3:19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3:19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3:19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3:19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3:19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3:19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3:19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3:19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3:19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3:19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3:19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3:19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3:19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3:19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3:19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3:19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3:19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3:19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3:19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3:19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3:19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3:19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3:19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3:19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3:19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3:19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3:19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3:19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3:19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3:19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3:19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3:19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3:19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3:19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3:19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3:19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3:19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3:19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3:19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3:19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3:19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3:19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3:19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3:19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3:19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3:19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3:19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3:19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3:19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3:19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3:19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3:19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3:19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3:19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3:19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3:19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3:19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3:19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3:19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3:19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3:19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3:19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3:19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3:19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3:19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3:19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3:19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3:19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3:19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3:19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3:19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3:19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3:19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3:19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3:19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3:19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3:19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3:19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3:19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3:19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3:19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3:19" ht="1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3:19" ht="1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3:19" ht="1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3:19" ht="1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3:19" ht="1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3:19" ht="1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3:19" ht="1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3:19" ht="1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3:19" ht="1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3:19" ht="1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3:19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3:19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3:19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3:19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3:19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3:19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3:19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3:19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3:19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3:19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3:19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3:19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3:19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3:19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3:19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3:19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3:19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3:19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3:19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3:19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3:19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3:19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3:19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3:19" ht="1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3:19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3:19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3:19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3:19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3:19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3:19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3:19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3:19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3:19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3:19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3:19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3:19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3:19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3:19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3:19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3:19" ht="1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3:19" ht="1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3:19" ht="1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3:19" ht="1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3:19" ht="1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3:19" ht="1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3:19" ht="1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3:19" ht="1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3:19" ht="1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3:19" ht="1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3:19" ht="1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3:19" ht="1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3:19" ht="1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3:19" ht="1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3:19" ht="1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3:19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3:19" ht="1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3:19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3:19" ht="1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3:19" ht="1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3:19" ht="1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3:19" ht="1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3:19" ht="1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3:19" ht="1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3:19" ht="1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3:19" ht="1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3:19" ht="1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3:19" ht="1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3:19" ht="1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3:19" ht="1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3:19" ht="1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</sheetData>
  <printOptions/>
  <pageMargins left="0.57" right="0.3" top="0.77" bottom="0.75" header="0.5" footer="0.5"/>
  <pageSetup fitToHeight="6" horizontalDpi="300" verticalDpi="300" orientation="portrait" scale="53" r:id="rId1"/>
  <headerFooter alignWithMargins="0">
    <oddHeader>&amp;R&amp;"Arial MT,Bold"Exhibit WEI-4</oddHeader>
  </headerFooter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492"/>
  <sheetViews>
    <sheetView view="pageBreakPreview" zoomScale="60" zoomScaleNormal="60" workbookViewId="0" topLeftCell="A1">
      <selection activeCell="B23" sqref="B23"/>
    </sheetView>
  </sheetViews>
  <sheetFormatPr defaultColWidth="8.88671875" defaultRowHeight="15"/>
  <cols>
    <col min="1" max="1" width="10.21484375" style="0" customWidth="1"/>
    <col min="2" max="2" width="4.4453125" style="0" customWidth="1"/>
    <col min="3" max="3" width="30.6640625" style="0" customWidth="1"/>
    <col min="4" max="4" width="23.77734375" style="0" customWidth="1"/>
    <col min="5" max="5" width="15.4453125" style="0" customWidth="1"/>
    <col min="6" max="6" width="10.77734375" style="0" customWidth="1"/>
    <col min="7" max="7" width="5.6640625" style="0" customWidth="1"/>
    <col min="8" max="8" width="16.3359375" style="0" customWidth="1"/>
    <col min="9" max="9" width="5.77734375" style="0" customWidth="1"/>
    <col min="10" max="10" width="12.77734375" style="0" customWidth="1"/>
    <col min="11" max="11" width="4.5546875" style="0" customWidth="1"/>
    <col min="12" max="12" width="8.5546875" style="0" customWidth="1"/>
    <col min="13" max="13" width="2.3359375" style="0" customWidth="1"/>
    <col min="14" max="14" width="32.21484375" style="0" customWidth="1"/>
    <col min="16" max="16" width="15.3359375" style="0" bestFit="1" customWidth="1"/>
  </cols>
  <sheetData>
    <row r="1" spans="3:63" ht="15">
      <c r="C1" s="49" t="s">
        <v>0</v>
      </c>
      <c r="D1" s="49"/>
      <c r="E1" s="50" t="s">
        <v>1</v>
      </c>
      <c r="F1" s="49"/>
      <c r="G1" s="49"/>
      <c r="J1" t="s">
        <v>467</v>
      </c>
      <c r="K1" s="16"/>
      <c r="L1" s="1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15">
      <c r="A2" t="s">
        <v>2</v>
      </c>
      <c r="C2" s="49"/>
      <c r="D2" s="21" t="s">
        <v>2</v>
      </c>
      <c r="E2" s="21" t="s">
        <v>3</v>
      </c>
      <c r="F2" s="21"/>
      <c r="G2" s="21"/>
      <c r="H2" s="21"/>
      <c r="J2" t="s">
        <v>486</v>
      </c>
      <c r="K2" s="16"/>
      <c r="L2" s="16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3:63" ht="15">
      <c r="C3" s="16"/>
      <c r="D3" s="16"/>
      <c r="E3" s="16"/>
      <c r="F3" s="16"/>
      <c r="G3" s="16"/>
      <c r="H3" s="16"/>
      <c r="I3" s="51" t="s">
        <v>270</v>
      </c>
      <c r="K3" s="16"/>
      <c r="L3" s="16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15">
      <c r="A4" s="75"/>
      <c r="C4" s="16"/>
      <c r="D4" s="16"/>
      <c r="E4" s="24" t="s">
        <v>272</v>
      </c>
      <c r="F4" s="16"/>
      <c r="G4" s="16"/>
      <c r="H4" s="16"/>
      <c r="I4" s="51"/>
      <c r="J4" s="51" t="s">
        <v>395</v>
      </c>
      <c r="K4" s="16"/>
      <c r="L4" s="16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5">
      <c r="A5" s="75"/>
      <c r="C5" s="16"/>
      <c r="D5" s="16"/>
      <c r="E5" s="24" t="s">
        <v>271</v>
      </c>
      <c r="F5" s="16"/>
      <c r="G5" s="16"/>
      <c r="H5" s="16"/>
      <c r="I5" s="16"/>
      <c r="J5" s="16"/>
      <c r="K5" s="16"/>
      <c r="L5" s="16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5">
      <c r="A6" s="75" t="s">
        <v>4</v>
      </c>
      <c r="C6" s="16"/>
      <c r="D6" s="16"/>
      <c r="E6" s="38"/>
      <c r="F6" s="16"/>
      <c r="G6" s="16"/>
      <c r="H6" s="16"/>
      <c r="I6" s="16"/>
      <c r="J6" s="52" t="s">
        <v>5</v>
      </c>
      <c r="K6" s="16"/>
      <c r="L6" s="16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5.75" thickBot="1">
      <c r="A7" s="76" t="s">
        <v>6</v>
      </c>
      <c r="C7" s="16"/>
      <c r="D7" s="16"/>
      <c r="E7" s="16"/>
      <c r="F7" s="16"/>
      <c r="G7" s="16"/>
      <c r="H7" s="16"/>
      <c r="I7" s="16"/>
      <c r="J7" s="61" t="s">
        <v>7</v>
      </c>
      <c r="K7" s="16"/>
      <c r="L7" s="16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5">
      <c r="A8" s="75">
        <v>1</v>
      </c>
      <c r="C8" s="16" t="s">
        <v>213</v>
      </c>
      <c r="D8" s="16"/>
      <c r="E8" s="17"/>
      <c r="F8" s="16"/>
      <c r="G8" s="16"/>
      <c r="H8" s="16"/>
      <c r="I8" s="16"/>
      <c r="J8" s="57">
        <f>+J160</f>
        <v>80471218.71336892</v>
      </c>
      <c r="K8" s="16"/>
      <c r="L8" s="16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5">
      <c r="A9" s="75"/>
      <c r="C9" s="16"/>
      <c r="D9" s="16"/>
      <c r="E9" s="16"/>
      <c r="F9" s="16"/>
      <c r="G9" s="16"/>
      <c r="H9" s="16"/>
      <c r="I9" s="16"/>
      <c r="J9" s="17"/>
      <c r="K9" s="16"/>
      <c r="L9" s="16"/>
      <c r="M9" s="7"/>
      <c r="N9" s="7"/>
      <c r="O9" s="7"/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5">
      <c r="A10" s="75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5.75" thickBot="1">
      <c r="A11" s="75" t="s">
        <v>2</v>
      </c>
      <c r="C11" s="18" t="s">
        <v>8</v>
      </c>
      <c r="D11" s="58" t="s">
        <v>379</v>
      </c>
      <c r="E11" s="61" t="s">
        <v>9</v>
      </c>
      <c r="F11" s="21"/>
      <c r="G11" s="77" t="s">
        <v>10</v>
      </c>
      <c r="H11" s="77"/>
      <c r="I11" s="16"/>
      <c r="J11" s="17"/>
      <c r="K11" s="16"/>
      <c r="L11" s="16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5">
      <c r="A12" s="75">
        <v>2</v>
      </c>
      <c r="C12" s="18" t="s">
        <v>12</v>
      </c>
      <c r="D12" s="21" t="s">
        <v>214</v>
      </c>
      <c r="E12" s="21">
        <f>J236</f>
        <v>4011765.5068000006</v>
      </c>
      <c r="F12" s="21"/>
      <c r="G12" s="21" t="s">
        <v>11</v>
      </c>
      <c r="H12" s="36">
        <f>J179</f>
        <v>0.9998406319064997</v>
      </c>
      <c r="I12" s="21"/>
      <c r="J12" s="21">
        <f>+H12*E12</f>
        <v>4011126.1593796117</v>
      </c>
      <c r="K12" s="16"/>
      <c r="L12" s="16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5">
      <c r="A13" s="75">
        <v>3</v>
      </c>
      <c r="C13" s="18" t="s">
        <v>13</v>
      </c>
      <c r="D13" s="21" t="s">
        <v>215</v>
      </c>
      <c r="E13" s="194" t="s">
        <v>326</v>
      </c>
      <c r="F13" s="21"/>
      <c r="G13" s="21" t="str">
        <f aca="true" t="shared" si="0" ref="G13:H15">+G12</f>
        <v>TP</v>
      </c>
      <c r="H13" s="36">
        <f t="shared" si="0"/>
        <v>0.9998406319064997</v>
      </c>
      <c r="I13" s="21"/>
      <c r="J13" s="194" t="s">
        <v>326</v>
      </c>
      <c r="K13" s="16"/>
      <c r="L13" s="16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15">
      <c r="A14" s="75">
        <v>4</v>
      </c>
      <c r="C14" s="59" t="s">
        <v>201</v>
      </c>
      <c r="D14" s="21"/>
      <c r="E14" s="104">
        <v>0</v>
      </c>
      <c r="F14" s="21"/>
      <c r="G14" s="21" t="str">
        <f t="shared" si="0"/>
        <v>TP</v>
      </c>
      <c r="H14" s="36">
        <f t="shared" si="0"/>
        <v>0.9998406319064997</v>
      </c>
      <c r="I14" s="21"/>
      <c r="J14" s="194" t="s">
        <v>326</v>
      </c>
      <c r="K14" s="16"/>
      <c r="L14" s="16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15.75" thickBot="1">
      <c r="A15" s="75">
        <v>5</v>
      </c>
      <c r="C15" s="59" t="s">
        <v>202</v>
      </c>
      <c r="D15" s="21"/>
      <c r="E15" s="104">
        <v>0</v>
      </c>
      <c r="F15" s="21"/>
      <c r="G15" s="21" t="str">
        <f t="shared" si="0"/>
        <v>TP</v>
      </c>
      <c r="H15" s="36">
        <f t="shared" si="0"/>
        <v>0.9998406319064997</v>
      </c>
      <c r="I15" s="21"/>
      <c r="J15" s="257" t="s">
        <v>326</v>
      </c>
      <c r="K15" s="16"/>
      <c r="L15" s="16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ht="15">
      <c r="A16" s="75">
        <v>6</v>
      </c>
      <c r="C16" s="18" t="s">
        <v>191</v>
      </c>
      <c r="D16" s="16"/>
      <c r="E16" s="33" t="s">
        <v>2</v>
      </c>
      <c r="F16" s="21"/>
      <c r="G16" s="21"/>
      <c r="H16" s="36"/>
      <c r="I16" s="21"/>
      <c r="J16" s="21">
        <f>+J12</f>
        <v>4011126.1593796117</v>
      </c>
      <c r="K16" s="16"/>
      <c r="L16" s="16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ht="15">
      <c r="A17" s="75"/>
      <c r="D17" s="16"/>
      <c r="E17" s="21" t="s">
        <v>2</v>
      </c>
      <c r="F17" s="16"/>
      <c r="G17" s="16"/>
      <c r="H17" s="36"/>
      <c r="I17" s="16"/>
      <c r="K17" s="16"/>
      <c r="L17" s="16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ht="15">
      <c r="A18" s="75"/>
      <c r="C18" s="18"/>
      <c r="D18" s="16"/>
      <c r="E18" s="28"/>
      <c r="F18" s="28"/>
      <c r="G18" s="28"/>
      <c r="H18" s="28"/>
      <c r="I18" s="28"/>
      <c r="J18" s="21"/>
      <c r="K18" s="16"/>
      <c r="L18" s="16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ht="15">
      <c r="A19" s="283"/>
      <c r="B19" s="143"/>
      <c r="C19" s="154"/>
      <c r="D19" s="142"/>
      <c r="E19" s="284"/>
      <c r="F19" s="58"/>
      <c r="G19" s="58"/>
      <c r="H19" s="58"/>
      <c r="I19" s="58"/>
      <c r="J19" s="298"/>
      <c r="K19" s="16"/>
      <c r="L19" s="16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ht="15">
      <c r="A20" s="283"/>
      <c r="B20" s="143"/>
      <c r="C20" s="143"/>
      <c r="D20" s="142"/>
      <c r="E20" s="284"/>
      <c r="F20" s="58"/>
      <c r="G20" s="58"/>
      <c r="H20" s="58"/>
      <c r="I20" s="58"/>
      <c r="J20" s="143"/>
      <c r="K20" s="16"/>
      <c r="L20" s="16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ht="15">
      <c r="A21" s="283"/>
      <c r="B21" s="143"/>
      <c r="C21" s="143"/>
      <c r="D21" s="58"/>
      <c r="E21" s="144"/>
      <c r="F21" s="144"/>
      <c r="G21" s="144"/>
      <c r="H21" s="144"/>
      <c r="I21" s="144"/>
      <c r="J21" s="58"/>
      <c r="K21" s="16"/>
      <c r="L21" s="16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ht="15">
      <c r="A22" s="283"/>
      <c r="B22" s="143"/>
      <c r="C22" s="154"/>
      <c r="D22" s="142"/>
      <c r="E22" s="285"/>
      <c r="F22" s="142"/>
      <c r="G22" s="142"/>
      <c r="H22" s="142"/>
      <c r="I22" s="142"/>
      <c r="J22" s="285"/>
      <c r="K22" s="16"/>
      <c r="L22" s="16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ht="15.75">
      <c r="A23" s="283"/>
      <c r="B23" s="143"/>
      <c r="C23" s="154"/>
      <c r="D23" s="144"/>
      <c r="E23" s="285"/>
      <c r="F23" s="142"/>
      <c r="G23" s="142"/>
      <c r="H23" s="117"/>
      <c r="I23" s="142"/>
      <c r="J23" s="286"/>
      <c r="K23" s="16"/>
      <c r="L23" s="16"/>
      <c r="M23" s="7"/>
      <c r="O23" s="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ht="15.75">
      <c r="A24" s="283"/>
      <c r="B24" s="143"/>
      <c r="C24" s="154"/>
      <c r="D24" s="58"/>
      <c r="E24" s="58"/>
      <c r="F24" s="58"/>
      <c r="G24" s="58"/>
      <c r="H24" s="58"/>
      <c r="I24" s="58"/>
      <c r="J24" s="286"/>
      <c r="K24" s="16"/>
      <c r="L24" s="16"/>
      <c r="M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ht="15.75">
      <c r="A25" s="283"/>
      <c r="B25" s="143"/>
      <c r="C25" s="59"/>
      <c r="D25" s="142"/>
      <c r="E25" s="142"/>
      <c r="F25" s="142"/>
      <c r="G25" s="143"/>
      <c r="H25" s="117"/>
      <c r="I25" s="142"/>
      <c r="J25" s="286"/>
      <c r="K25" s="16"/>
      <c r="L25" s="16"/>
      <c r="M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ht="15.75">
      <c r="A26" s="283"/>
      <c r="B26" s="143"/>
      <c r="C26" s="154"/>
      <c r="D26" s="142"/>
      <c r="E26" s="142"/>
      <c r="F26" s="142"/>
      <c r="G26" s="143"/>
      <c r="H26" s="117"/>
      <c r="I26" s="142"/>
      <c r="J26" s="287"/>
      <c r="K26" s="16"/>
      <c r="L26" s="16"/>
      <c r="M26" s="7"/>
      <c r="O26" s="7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ht="15.75">
      <c r="A27" s="283"/>
      <c r="B27" s="143"/>
      <c r="C27" s="59"/>
      <c r="D27" s="142"/>
      <c r="E27" s="142"/>
      <c r="F27" s="142"/>
      <c r="G27" s="142"/>
      <c r="H27" s="117"/>
      <c r="I27" s="142"/>
      <c r="J27" s="286"/>
      <c r="K27" s="16"/>
      <c r="L27" s="16"/>
      <c r="M27" s="7"/>
      <c r="O27" s="7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ht="15.75">
      <c r="A28" s="283"/>
      <c r="B28" s="143"/>
      <c r="C28" s="59"/>
      <c r="D28" s="142"/>
      <c r="E28" s="142"/>
      <c r="F28" s="142"/>
      <c r="G28" s="142"/>
      <c r="H28" s="117"/>
      <c r="I28" s="142"/>
      <c r="J28" s="286"/>
      <c r="K28" s="16"/>
      <c r="L28" s="16"/>
      <c r="M28" s="7"/>
      <c r="O28" s="7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ht="15">
      <c r="A29" s="283"/>
      <c r="B29" s="143"/>
      <c r="C29" s="59"/>
      <c r="D29" s="142"/>
      <c r="E29" s="142"/>
      <c r="F29" s="142"/>
      <c r="G29" s="142"/>
      <c r="H29" s="117"/>
      <c r="I29" s="142"/>
      <c r="J29" s="299"/>
      <c r="K29" s="16"/>
      <c r="L29" s="16"/>
      <c r="M29" s="7"/>
      <c r="O29" s="7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63" ht="15">
      <c r="A30" s="283"/>
      <c r="B30" s="143"/>
      <c r="C30" s="141"/>
      <c r="D30" s="142"/>
      <c r="E30" s="142"/>
      <c r="F30" s="142"/>
      <c r="G30" s="142"/>
      <c r="H30" s="142"/>
      <c r="I30" s="142"/>
      <c r="J30" s="285"/>
      <c r="K30" s="16"/>
      <c r="L30" s="16"/>
      <c r="M30" s="7"/>
      <c r="N30" s="7"/>
      <c r="O30" s="7"/>
      <c r="P30" s="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63" ht="15">
      <c r="A31" s="283"/>
      <c r="B31" s="143"/>
      <c r="C31" s="154"/>
      <c r="D31" s="142"/>
      <c r="E31" s="142"/>
      <c r="F31" s="142"/>
      <c r="G31" s="142"/>
      <c r="H31" s="142"/>
      <c r="I31" s="142"/>
      <c r="J31" s="285"/>
      <c r="K31" s="16"/>
      <c r="L31" s="16"/>
      <c r="M31" s="7"/>
      <c r="N31" s="7"/>
      <c r="O31" s="7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63" ht="15">
      <c r="A32" s="283"/>
      <c r="B32" s="143"/>
      <c r="C32" s="154"/>
      <c r="D32" s="142"/>
      <c r="E32" s="288"/>
      <c r="F32" s="142"/>
      <c r="G32" s="142"/>
      <c r="H32" s="142"/>
      <c r="I32" s="142"/>
      <c r="J32" s="144"/>
      <c r="K32" s="16"/>
      <c r="L32" s="16"/>
      <c r="M32" s="7"/>
      <c r="N32" s="7"/>
      <c r="O32" s="7"/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63" ht="15">
      <c r="A33" s="283"/>
      <c r="B33" s="143"/>
      <c r="C33" s="154"/>
      <c r="D33" s="142"/>
      <c r="E33" s="288"/>
      <c r="F33" s="142"/>
      <c r="G33" s="142"/>
      <c r="H33" s="142"/>
      <c r="I33" s="142"/>
      <c r="J33" s="144"/>
      <c r="K33" s="16"/>
      <c r="L33" s="16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63" ht="15">
      <c r="A34" s="283"/>
      <c r="B34" s="143"/>
      <c r="C34" s="154"/>
      <c r="D34" s="142"/>
      <c r="E34" s="289"/>
      <c r="F34" s="142"/>
      <c r="G34" s="142"/>
      <c r="H34" s="142"/>
      <c r="I34" s="142"/>
      <c r="J34" s="144"/>
      <c r="K34" s="16"/>
      <c r="L34" s="16"/>
      <c r="M34" s="7"/>
      <c r="N34" s="7"/>
      <c r="O34" s="7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63" ht="15">
      <c r="A35" s="283"/>
      <c r="B35" s="143"/>
      <c r="C35" s="154"/>
      <c r="D35" s="142"/>
      <c r="E35" s="290"/>
      <c r="F35" s="142"/>
      <c r="G35" s="142"/>
      <c r="H35" s="142"/>
      <c r="I35" s="142"/>
      <c r="J35" s="291"/>
      <c r="K35" s="16"/>
      <c r="L35" s="16"/>
      <c r="M35" s="7"/>
      <c r="N35" s="7"/>
      <c r="O35" s="7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63" ht="15">
      <c r="A36" s="283"/>
      <c r="B36" s="143"/>
      <c r="C36" s="154"/>
      <c r="D36" s="142"/>
      <c r="E36" s="289"/>
      <c r="F36" s="142"/>
      <c r="G36" s="142"/>
      <c r="H36" s="142"/>
      <c r="I36" s="142"/>
      <c r="J36" s="144"/>
      <c r="K36" s="16"/>
      <c r="L36" s="16"/>
      <c r="M36" s="7"/>
      <c r="N36" s="7"/>
      <c r="O36" s="7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 ht="15">
      <c r="A37" s="283"/>
      <c r="B37" s="143"/>
      <c r="C37" s="154"/>
      <c r="D37" s="292"/>
      <c r="E37" s="288"/>
      <c r="F37" s="142"/>
      <c r="G37" s="142"/>
      <c r="H37" s="142"/>
      <c r="I37" s="142"/>
      <c r="J37" s="293"/>
      <c r="K37" s="16"/>
      <c r="L37" s="16"/>
      <c r="M37" s="7"/>
      <c r="N37" s="7"/>
      <c r="O37" s="7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63" ht="15">
      <c r="A38" s="283"/>
      <c r="B38" s="143"/>
      <c r="C38" s="154"/>
      <c r="D38" s="292"/>
      <c r="E38" s="288"/>
      <c r="F38" s="142"/>
      <c r="G38" s="144"/>
      <c r="H38" s="142"/>
      <c r="I38" s="142"/>
      <c r="J38" s="293"/>
      <c r="K38" s="16"/>
      <c r="L38" s="16"/>
      <c r="M38" s="7"/>
      <c r="N38" s="7"/>
      <c r="O38" s="7"/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63" ht="15">
      <c r="A39" s="283"/>
      <c r="B39" s="143"/>
      <c r="C39" s="154"/>
      <c r="D39" s="292"/>
      <c r="E39" s="288"/>
      <c r="F39" s="142"/>
      <c r="G39" s="144"/>
      <c r="H39" s="142"/>
      <c r="I39" s="142"/>
      <c r="J39" s="293"/>
      <c r="K39" s="16"/>
      <c r="L39" s="16" t="s">
        <v>2</v>
      </c>
      <c r="M39" s="7"/>
      <c r="N39" s="7"/>
      <c r="O39" s="7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63" ht="15">
      <c r="A40" s="283"/>
      <c r="B40" s="143"/>
      <c r="C40" s="154"/>
      <c r="D40" s="142"/>
      <c r="E40" s="142"/>
      <c r="F40" s="142"/>
      <c r="G40" s="144"/>
      <c r="H40" s="142"/>
      <c r="I40" s="142"/>
      <c r="J40" s="144"/>
      <c r="K40" s="16"/>
      <c r="L40" s="16" t="s">
        <v>2</v>
      </c>
      <c r="M40" s="7"/>
      <c r="N40" s="7"/>
      <c r="O40" s="7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63" ht="15">
      <c r="A41" s="283"/>
      <c r="B41" s="143"/>
      <c r="C41" s="154"/>
      <c r="D41" s="142"/>
      <c r="E41" s="142"/>
      <c r="F41" s="142"/>
      <c r="G41" s="144"/>
      <c r="H41" s="142"/>
      <c r="I41" s="142"/>
      <c r="J41" s="144"/>
      <c r="K41" s="16"/>
      <c r="L41" s="16" t="s">
        <v>2</v>
      </c>
      <c r="M41" s="7"/>
      <c r="N41" s="7"/>
      <c r="O41" s="7"/>
      <c r="P41" s="7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63" ht="15">
      <c r="A42" s="283"/>
      <c r="B42" s="143"/>
      <c r="C42" s="154"/>
      <c r="D42" s="292"/>
      <c r="E42" s="244"/>
      <c r="F42" s="244"/>
      <c r="G42" s="244"/>
      <c r="H42" s="244"/>
      <c r="I42" s="244"/>
      <c r="J42" s="294"/>
      <c r="K42" s="72" t="s">
        <v>2</v>
      </c>
      <c r="L42" s="16"/>
      <c r="M42" s="7"/>
      <c r="N42" s="7"/>
      <c r="O42" s="7"/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ht="15">
      <c r="A43" s="283"/>
      <c r="B43" s="143"/>
      <c r="C43" s="154"/>
      <c r="D43" s="142"/>
      <c r="E43" s="244"/>
      <c r="F43" s="244"/>
      <c r="G43" s="244"/>
      <c r="H43" s="244"/>
      <c r="I43" s="244"/>
      <c r="J43" s="244"/>
      <c r="K43" s="72"/>
      <c r="L43" s="16"/>
      <c r="M43" s="7"/>
      <c r="N43" s="7"/>
      <c r="O43" s="7"/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63" ht="1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73"/>
      <c r="L44" s="16"/>
      <c r="M44" s="7"/>
      <c r="N44" s="7"/>
      <c r="O44" s="7"/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63" ht="15">
      <c r="A45" s="283"/>
      <c r="B45" s="143"/>
      <c r="C45" s="143"/>
      <c r="D45" s="143"/>
      <c r="E45" s="143"/>
      <c r="F45" s="143"/>
      <c r="G45" s="143"/>
      <c r="H45" s="143"/>
      <c r="I45" s="143"/>
      <c r="J45" s="295"/>
      <c r="K45" s="73"/>
      <c r="L45" s="16"/>
      <c r="M45" s="7"/>
      <c r="N45" s="7"/>
      <c r="O45" s="7"/>
      <c r="P45" s="7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63" ht="15">
      <c r="A46" s="143"/>
      <c r="B46" s="143"/>
      <c r="C46" s="154"/>
      <c r="D46" s="142"/>
      <c r="E46" s="142"/>
      <c r="F46" s="142"/>
      <c r="G46" s="142"/>
      <c r="H46" s="142"/>
      <c r="I46" s="142"/>
      <c r="J46" s="296"/>
      <c r="K46" s="16"/>
      <c r="L46" s="16"/>
      <c r="M46" s="7"/>
      <c r="N46" s="7"/>
      <c r="O46" s="7"/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1:63" ht="15">
      <c r="A47" s="283"/>
      <c r="B47" s="143"/>
      <c r="C47" s="154"/>
      <c r="D47" s="142"/>
      <c r="E47" s="142"/>
      <c r="F47" s="142"/>
      <c r="G47" s="142"/>
      <c r="H47" s="142"/>
      <c r="I47" s="142"/>
      <c r="J47" s="297"/>
      <c r="K47" s="16"/>
      <c r="L47" s="16"/>
      <c r="M47" s="7"/>
      <c r="N47" s="7"/>
      <c r="O47" s="7"/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3:63" ht="15">
      <c r="C48" s="18"/>
      <c r="D48" s="16"/>
      <c r="E48" s="16"/>
      <c r="F48" s="16"/>
      <c r="G48" s="16"/>
      <c r="H48" s="16"/>
      <c r="I48" s="16"/>
      <c r="J48" s="45"/>
      <c r="K48" s="16"/>
      <c r="L48" s="16"/>
      <c r="M48" s="7"/>
      <c r="N48" s="7"/>
      <c r="O48" s="7"/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3:63" ht="15">
      <c r="C49" s="18"/>
      <c r="D49" s="16"/>
      <c r="E49" s="16"/>
      <c r="F49" s="16"/>
      <c r="G49" s="16"/>
      <c r="H49" s="16"/>
      <c r="I49" s="16"/>
      <c r="J49" s="45"/>
      <c r="K49" s="16"/>
      <c r="L49" s="16"/>
      <c r="M49" s="7"/>
      <c r="N49" s="7"/>
      <c r="O49" s="7"/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3:63" ht="15">
      <c r="C50" s="18"/>
      <c r="D50" s="16"/>
      <c r="E50" s="16"/>
      <c r="F50" s="16"/>
      <c r="G50" s="16"/>
      <c r="H50" s="16"/>
      <c r="I50" s="16"/>
      <c r="J50" s="45"/>
      <c r="K50" s="16"/>
      <c r="L50" s="16"/>
      <c r="M50" s="7"/>
      <c r="N50" s="7"/>
      <c r="O50" s="7"/>
      <c r="P50" s="7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3:63" ht="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7"/>
      <c r="N51" s="7"/>
      <c r="O51" s="7"/>
      <c r="P51" s="7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3:63" ht="15">
      <c r="C52" s="18" t="str">
        <f>C1</f>
        <v>Formula Rate - Non-Levelized </v>
      </c>
      <c r="D52" s="18"/>
      <c r="E52" s="19" t="str">
        <f>E1</f>
        <v>     Rate Formula Template</v>
      </c>
      <c r="F52" s="18"/>
      <c r="G52" s="18"/>
      <c r="J52" t="str">
        <f>+J1</f>
        <v>Statement BK</v>
      </c>
      <c r="K52" s="18"/>
      <c r="L52" s="18"/>
      <c r="M52" s="9"/>
      <c r="N52" s="9"/>
      <c r="O52" s="9"/>
      <c r="P52" s="9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3:63" ht="15">
      <c r="C53" s="18"/>
      <c r="D53" s="21" t="s">
        <v>2</v>
      </c>
      <c r="E53" s="21" t="str">
        <f>E2</f>
        <v> Utilizing FERC Form 1 Data</v>
      </c>
      <c r="F53" s="21"/>
      <c r="G53" s="21"/>
      <c r="H53" s="21"/>
      <c r="J53" t="str">
        <f>+J2</f>
        <v>Schedule WEN</v>
      </c>
      <c r="K53" s="21"/>
      <c r="L53" s="21"/>
      <c r="M53" s="10"/>
      <c r="N53" s="7"/>
      <c r="O53" s="10"/>
      <c r="P53" s="9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3:63" ht="15">
      <c r="C54" s="18"/>
      <c r="D54" s="21" t="s">
        <v>2</v>
      </c>
      <c r="E54" s="21" t="s">
        <v>2</v>
      </c>
      <c r="F54" s="21"/>
      <c r="G54" s="21"/>
      <c r="H54" s="21" t="s">
        <v>2</v>
      </c>
      <c r="I54" s="18" t="str">
        <f>I3</f>
        <v>For the 12 months ended 12/31/04</v>
      </c>
      <c r="K54" s="21"/>
      <c r="L54" s="21"/>
      <c r="M54" s="10"/>
      <c r="N54" s="10"/>
      <c r="O54" s="10"/>
      <c r="P54" s="9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3:63" ht="15">
      <c r="C55" s="18"/>
      <c r="D55" s="16"/>
      <c r="E55" s="22" t="str">
        <f>+E4</f>
        <v>WESTAR ENERGY, INC.</v>
      </c>
      <c r="F55" s="21"/>
      <c r="G55" s="21"/>
      <c r="H55" s="21"/>
      <c r="I55" s="21"/>
      <c r="J55" s="51" t="s">
        <v>396</v>
      </c>
      <c r="K55" s="21"/>
      <c r="L55" s="21"/>
      <c r="M55" s="10"/>
      <c r="N55" s="10"/>
      <c r="O55" s="10"/>
      <c r="P55" s="9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3:63" ht="15">
      <c r="C56" s="18"/>
      <c r="D56" s="16"/>
      <c r="E56" s="22" t="str">
        <f>+E5</f>
        <v>(WEN)</v>
      </c>
      <c r="F56" s="21"/>
      <c r="G56" s="21"/>
      <c r="H56" s="21"/>
      <c r="I56" s="21"/>
      <c r="J56" s="21"/>
      <c r="K56" s="21"/>
      <c r="L56" s="21"/>
      <c r="M56" s="10"/>
      <c r="N56" s="10"/>
      <c r="O56" s="10"/>
      <c r="P56" s="9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3:63" ht="15">
      <c r="C57" s="20" t="s">
        <v>32</v>
      </c>
      <c r="D57" s="20" t="s">
        <v>33</v>
      </c>
      <c r="E57" s="20" t="s">
        <v>34</v>
      </c>
      <c r="F57" s="21" t="s">
        <v>2</v>
      </c>
      <c r="G57" s="21"/>
      <c r="H57" s="23" t="s">
        <v>35</v>
      </c>
      <c r="I57" s="21"/>
      <c r="J57" s="24" t="s">
        <v>36</v>
      </c>
      <c r="K57" s="21"/>
      <c r="L57" s="20"/>
      <c r="M57" s="10"/>
      <c r="N57" s="11"/>
      <c r="O57" s="10"/>
      <c r="P57" s="9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3:63" ht="15.75">
      <c r="C58" s="18"/>
      <c r="D58" s="46" t="s">
        <v>37</v>
      </c>
      <c r="E58" s="21"/>
      <c r="F58" s="21"/>
      <c r="G58" s="21"/>
      <c r="H58" s="52"/>
      <c r="I58" s="21"/>
      <c r="J58" s="53" t="s">
        <v>38</v>
      </c>
      <c r="K58" s="21"/>
      <c r="L58" s="20"/>
      <c r="M58" s="10"/>
      <c r="N58" s="11"/>
      <c r="O58" s="11"/>
      <c r="P58" s="9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63" ht="15.75">
      <c r="A59" s="75" t="s">
        <v>4</v>
      </c>
      <c r="C59" s="18"/>
      <c r="D59" s="79" t="s">
        <v>39</v>
      </c>
      <c r="E59" s="53" t="s">
        <v>40</v>
      </c>
      <c r="F59" s="80"/>
      <c r="G59" s="53" t="s">
        <v>41</v>
      </c>
      <c r="H59" s="28"/>
      <c r="I59" s="80"/>
      <c r="J59" s="81" t="s">
        <v>42</v>
      </c>
      <c r="K59" s="21"/>
      <c r="L59" s="20"/>
      <c r="M59" s="7"/>
      <c r="N59" s="11"/>
      <c r="O59" s="11"/>
      <c r="P59" s="9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  <row r="60" spans="1:63" ht="16.5" thickBot="1">
      <c r="A60" s="76" t="s">
        <v>6</v>
      </c>
      <c r="C60" s="29" t="s">
        <v>43</v>
      </c>
      <c r="D60" s="21"/>
      <c r="E60" s="21"/>
      <c r="F60" s="21"/>
      <c r="G60" s="21"/>
      <c r="H60" s="21"/>
      <c r="I60" s="21"/>
      <c r="J60" s="21"/>
      <c r="K60" s="21"/>
      <c r="L60" s="21"/>
      <c r="M60" s="7"/>
      <c r="N60" s="10"/>
      <c r="O60" s="10"/>
      <c r="P60" s="9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</row>
    <row r="61" spans="1:63" ht="15">
      <c r="A61" s="75"/>
      <c r="C61" s="18"/>
      <c r="D61" s="21"/>
      <c r="E61" s="21"/>
      <c r="F61" s="21"/>
      <c r="G61" s="21"/>
      <c r="H61" s="21"/>
      <c r="I61" s="21"/>
      <c r="J61" s="21"/>
      <c r="K61" s="21"/>
      <c r="L61" s="21"/>
      <c r="M61" s="7"/>
      <c r="N61" s="10"/>
      <c r="O61" s="10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</row>
    <row r="62" spans="1:63" ht="15.75">
      <c r="A62" s="75"/>
      <c r="C62" s="18" t="s">
        <v>44</v>
      </c>
      <c r="D62" s="260"/>
      <c r="E62" s="21"/>
      <c r="F62" s="21"/>
      <c r="G62" s="21"/>
      <c r="H62" s="21"/>
      <c r="I62" s="21"/>
      <c r="J62" s="21"/>
      <c r="K62" s="21"/>
      <c r="L62" s="21"/>
      <c r="M62" s="7"/>
      <c r="N62" s="10"/>
      <c r="O62" s="10"/>
      <c r="P62" s="9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</row>
    <row r="63" spans="1:63" ht="15">
      <c r="A63" s="75">
        <v>1</v>
      </c>
      <c r="C63" s="18" t="s">
        <v>45</v>
      </c>
      <c r="D63" s="21" t="s">
        <v>470</v>
      </c>
      <c r="E63" s="238">
        <v>1329009798</v>
      </c>
      <c r="F63" s="21"/>
      <c r="G63" s="21" t="s">
        <v>46</v>
      </c>
      <c r="H63" s="30" t="s">
        <v>2</v>
      </c>
      <c r="I63" s="21"/>
      <c r="J63" s="21" t="s">
        <v>2</v>
      </c>
      <c r="K63" s="21"/>
      <c r="L63" s="21"/>
      <c r="M63" s="7"/>
      <c r="O63" s="10"/>
      <c r="P63" s="9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</row>
    <row r="64" spans="1:63" ht="15">
      <c r="A64" s="75">
        <v>2</v>
      </c>
      <c r="C64" s="18" t="s">
        <v>47</v>
      </c>
      <c r="D64" s="21" t="s">
        <v>471</v>
      </c>
      <c r="E64" s="240">
        <v>338612320.79</v>
      </c>
      <c r="F64" s="21"/>
      <c r="G64" s="21" t="s">
        <v>11</v>
      </c>
      <c r="H64" s="30">
        <f>J179</f>
        <v>0.9998406319064997</v>
      </c>
      <c r="I64" s="21"/>
      <c r="J64" s="21">
        <f>+H64*E64</f>
        <v>338558356.79</v>
      </c>
      <c r="K64" s="21"/>
      <c r="L64" s="21"/>
      <c r="M64" s="7"/>
      <c r="O64" s="10"/>
      <c r="P64" s="9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</row>
    <row r="65" spans="1:63" ht="15">
      <c r="A65" s="75">
        <v>3</v>
      </c>
      <c r="C65" s="18" t="s">
        <v>48</v>
      </c>
      <c r="D65" s="21" t="s">
        <v>472</v>
      </c>
      <c r="E65" s="104">
        <v>725626500</v>
      </c>
      <c r="F65" s="21"/>
      <c r="G65" s="21" t="s">
        <v>46</v>
      </c>
      <c r="H65" s="30" t="s">
        <v>2</v>
      </c>
      <c r="I65" s="21"/>
      <c r="J65" s="21" t="s">
        <v>2</v>
      </c>
      <c r="K65" s="21"/>
      <c r="L65" s="21"/>
      <c r="M65" s="7"/>
      <c r="O65" s="10"/>
      <c r="P65" s="9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</row>
    <row r="66" spans="1:63" ht="15" customHeight="1">
      <c r="A66" s="75">
        <v>4</v>
      </c>
      <c r="C66" s="228" t="s">
        <v>49</v>
      </c>
      <c r="D66" s="319" t="s">
        <v>488</v>
      </c>
      <c r="E66" s="322">
        <f>169918664+5415664</f>
        <v>175334328</v>
      </c>
      <c r="F66" s="21"/>
      <c r="G66" s="21" t="s">
        <v>50</v>
      </c>
      <c r="H66" s="30">
        <f>J199</f>
        <v>0.05454058924238073</v>
      </c>
      <c r="I66" s="21"/>
      <c r="J66" s="21">
        <f>+H66*E66</f>
        <v>9562837.563536854</v>
      </c>
      <c r="K66" s="21"/>
      <c r="L66" s="21"/>
      <c r="M66" s="10"/>
      <c r="O66" s="11"/>
      <c r="P66" s="9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</row>
    <row r="67" spans="1:63" ht="15.75" thickBot="1">
      <c r="A67" s="75">
        <v>5</v>
      </c>
      <c r="C67" s="18" t="s">
        <v>51</v>
      </c>
      <c r="D67" s="21" t="s">
        <v>52</v>
      </c>
      <c r="E67" s="105">
        <v>0</v>
      </c>
      <c r="F67" s="21"/>
      <c r="G67" s="21" t="s">
        <v>137</v>
      </c>
      <c r="H67" s="30">
        <f>L205</f>
        <v>0.05454058924238073</v>
      </c>
      <c r="I67" s="21"/>
      <c r="J67" s="68">
        <f>+H67*E67</f>
        <v>0</v>
      </c>
      <c r="K67" s="21"/>
      <c r="L67" s="21"/>
      <c r="M67" s="10"/>
      <c r="O67" s="11"/>
      <c r="P67" s="9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</row>
    <row r="68" spans="1:63" ht="15">
      <c r="A68" s="75">
        <v>6</v>
      </c>
      <c r="C68" s="49" t="s">
        <v>53</v>
      </c>
      <c r="D68" s="21"/>
      <c r="E68" s="21">
        <f>SUM(E63:E67)</f>
        <v>2568582946.79</v>
      </c>
      <c r="F68" s="21"/>
      <c r="G68" s="21" t="s">
        <v>54</v>
      </c>
      <c r="H68" s="34">
        <f>IF(J68&gt;0,J68/E68,0)</f>
        <v>0.13553044677361487</v>
      </c>
      <c r="I68" s="21"/>
      <c r="J68" s="21">
        <f>SUM(J63:J67)</f>
        <v>348121194.3535369</v>
      </c>
      <c r="K68" s="21"/>
      <c r="L68" s="34"/>
      <c r="M68" s="7"/>
      <c r="N68" s="10"/>
      <c r="O68" s="10"/>
      <c r="P68" s="9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</row>
    <row r="69" spans="3:63" ht="15">
      <c r="C69" s="18"/>
      <c r="D69" s="21"/>
      <c r="E69" s="21"/>
      <c r="F69" s="21"/>
      <c r="G69" s="21"/>
      <c r="H69" s="34"/>
      <c r="I69" s="21"/>
      <c r="J69" s="21"/>
      <c r="K69" s="21"/>
      <c r="L69" s="34"/>
      <c r="M69" s="7"/>
      <c r="N69" s="10"/>
      <c r="O69" s="10"/>
      <c r="P69" s="9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</row>
    <row r="70" spans="3:63" ht="15.75">
      <c r="C70" s="18" t="s">
        <v>55</v>
      </c>
      <c r="D70" s="260"/>
      <c r="E70" s="21"/>
      <c r="F70" s="21"/>
      <c r="G70" s="21"/>
      <c r="H70" s="21"/>
      <c r="I70" s="21"/>
      <c r="J70" s="21"/>
      <c r="K70" s="21"/>
      <c r="L70" s="21"/>
      <c r="M70" s="7"/>
      <c r="N70" s="10"/>
      <c r="O70" s="10"/>
      <c r="P70" s="9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</row>
    <row r="71" spans="1:63" ht="15">
      <c r="A71" s="75">
        <v>7</v>
      </c>
      <c r="C71" s="18" t="str">
        <f>+C63</f>
        <v>  Production</v>
      </c>
      <c r="D71" s="21" t="s">
        <v>474</v>
      </c>
      <c r="E71" s="238">
        <f>567507176+64156331</f>
        <v>631663507</v>
      </c>
      <c r="F71" s="21"/>
      <c r="G71" s="21" t="str">
        <f aca="true" t="shared" si="1" ref="G71:H75">+G63</f>
        <v>NA</v>
      </c>
      <c r="H71" s="30" t="str">
        <f t="shared" si="1"/>
        <v> </v>
      </c>
      <c r="I71" s="21"/>
      <c r="J71" s="21" t="s">
        <v>2</v>
      </c>
      <c r="K71" s="21"/>
      <c r="L71" s="21"/>
      <c r="M71" s="7"/>
      <c r="N71" s="10"/>
      <c r="O71" s="10"/>
      <c r="P71" s="9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</row>
    <row r="72" spans="1:63" ht="15">
      <c r="A72" s="75">
        <v>8</v>
      </c>
      <c r="C72" s="18" t="str">
        <f>+C64</f>
        <v>  Transmission</v>
      </c>
      <c r="D72" s="21" t="s">
        <v>489</v>
      </c>
      <c r="E72" s="240">
        <v>137196170</v>
      </c>
      <c r="F72" s="21"/>
      <c r="G72" s="21" t="str">
        <f t="shared" si="1"/>
        <v>TP</v>
      </c>
      <c r="H72" s="30">
        <f t="shared" si="1"/>
        <v>0.9998406319064997</v>
      </c>
      <c r="I72" s="21"/>
      <c r="J72" s="21">
        <f>+H72*E72</f>
        <v>137174305.30795157</v>
      </c>
      <c r="K72" s="21"/>
      <c r="L72" s="21"/>
      <c r="M72" s="7"/>
      <c r="N72" s="10"/>
      <c r="O72" s="10"/>
      <c r="P72" s="9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</row>
    <row r="73" spans="1:63" ht="15">
      <c r="A73" s="75">
        <v>9</v>
      </c>
      <c r="C73" s="18" t="str">
        <f>+C65</f>
        <v>  Distribution</v>
      </c>
      <c r="D73" s="21" t="s">
        <v>490</v>
      </c>
      <c r="E73" s="104">
        <v>293037640</v>
      </c>
      <c r="F73" s="21"/>
      <c r="G73" s="21" t="str">
        <f t="shared" si="1"/>
        <v>NA</v>
      </c>
      <c r="H73" s="30" t="str">
        <f t="shared" si="1"/>
        <v> </v>
      </c>
      <c r="I73" s="21"/>
      <c r="J73" s="21" t="s">
        <v>2</v>
      </c>
      <c r="K73" s="21"/>
      <c r="L73" s="21"/>
      <c r="M73" s="7"/>
      <c r="N73" s="10"/>
      <c r="O73" s="10"/>
      <c r="P73" s="9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</row>
    <row r="74" spans="1:63" ht="15">
      <c r="A74" s="75">
        <v>10</v>
      </c>
      <c r="C74" s="18" t="str">
        <f>+C66</f>
        <v>  General &amp; Intangible</v>
      </c>
      <c r="D74" s="21" t="s">
        <v>491</v>
      </c>
      <c r="E74" s="104">
        <v>77807167</v>
      </c>
      <c r="F74" s="21"/>
      <c r="G74" s="21" t="str">
        <f t="shared" si="1"/>
        <v>W/S</v>
      </c>
      <c r="H74" s="30">
        <f t="shared" si="1"/>
        <v>0.05454058924238073</v>
      </c>
      <c r="I74" s="21"/>
      <c r="J74" s="21">
        <f>+H74*E74</f>
        <v>4243648.7354603205</v>
      </c>
      <c r="K74" s="21"/>
      <c r="L74" s="21"/>
      <c r="M74" s="7"/>
      <c r="N74" s="10"/>
      <c r="O74" s="11"/>
      <c r="P74" s="9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</row>
    <row r="75" spans="1:63" ht="15.75" thickBot="1">
      <c r="A75" s="75">
        <v>11</v>
      </c>
      <c r="C75" s="18" t="str">
        <f>+C67</f>
        <v>  Common</v>
      </c>
      <c r="D75" s="21" t="s">
        <v>52</v>
      </c>
      <c r="E75" s="105">
        <v>0</v>
      </c>
      <c r="F75" s="21"/>
      <c r="G75" s="21" t="str">
        <f t="shared" si="1"/>
        <v>CE</v>
      </c>
      <c r="H75" s="30">
        <f t="shared" si="1"/>
        <v>0.05454058924238073</v>
      </c>
      <c r="I75" s="21"/>
      <c r="J75" s="68">
        <f>+H75*E75</f>
        <v>0</v>
      </c>
      <c r="K75" s="21"/>
      <c r="L75" s="21"/>
      <c r="M75" s="7"/>
      <c r="N75" s="10"/>
      <c r="O75" s="11"/>
      <c r="P75" s="9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</row>
    <row r="76" spans="1:63" ht="15">
      <c r="A76" s="75">
        <v>12</v>
      </c>
      <c r="C76" s="18" t="s">
        <v>56</v>
      </c>
      <c r="D76" s="21"/>
      <c r="E76" s="21">
        <f>SUM(E71:E75)</f>
        <v>1139704484</v>
      </c>
      <c r="F76" s="21"/>
      <c r="G76" s="21"/>
      <c r="H76" s="21"/>
      <c r="I76" s="21"/>
      <c r="J76" s="21">
        <f>SUM(J71:J75)</f>
        <v>141417954.04341188</v>
      </c>
      <c r="K76" s="21"/>
      <c r="L76" s="21"/>
      <c r="M76" s="7"/>
      <c r="N76" s="12"/>
      <c r="O76" s="10"/>
      <c r="P76" s="9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</row>
    <row r="77" spans="1:63" ht="15">
      <c r="A77" s="75"/>
      <c r="D77" s="21" t="s">
        <v>2</v>
      </c>
      <c r="F77" s="21"/>
      <c r="G77" s="21"/>
      <c r="H77" s="34"/>
      <c r="I77" s="21"/>
      <c r="K77" s="21"/>
      <c r="L77" s="34"/>
      <c r="M77" s="7"/>
      <c r="N77" s="10"/>
      <c r="O77" s="10"/>
      <c r="P77" s="9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</row>
    <row r="78" spans="1:63" ht="15">
      <c r="A78" s="75"/>
      <c r="C78" s="18" t="s">
        <v>57</v>
      </c>
      <c r="D78" s="21"/>
      <c r="E78" s="21"/>
      <c r="F78" s="21"/>
      <c r="G78" s="21"/>
      <c r="H78" s="21"/>
      <c r="I78" s="21"/>
      <c r="J78" s="21"/>
      <c r="K78" s="21"/>
      <c r="L78" s="21"/>
      <c r="M78" s="7"/>
      <c r="N78" s="10"/>
      <c r="O78" s="10"/>
      <c r="P78" s="9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</row>
    <row r="79" spans="1:63" ht="15">
      <c r="A79" s="75">
        <v>13</v>
      </c>
      <c r="C79" s="18" t="str">
        <f>+C71</f>
        <v>  Production</v>
      </c>
      <c r="D79" s="21" t="s">
        <v>58</v>
      </c>
      <c r="E79" s="21">
        <f>E63-E71</f>
        <v>697346291</v>
      </c>
      <c r="F79" s="21"/>
      <c r="G79" s="21"/>
      <c r="H79" s="34"/>
      <c r="I79" s="21"/>
      <c r="J79" s="21" t="s">
        <v>2</v>
      </c>
      <c r="K79" s="21"/>
      <c r="L79" s="34"/>
      <c r="M79" s="7"/>
      <c r="N79" s="10"/>
      <c r="O79" s="10"/>
      <c r="P79" s="9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</row>
    <row r="80" spans="1:63" ht="15">
      <c r="A80" s="75">
        <v>14</v>
      </c>
      <c r="C80" s="18" t="str">
        <f>+C72</f>
        <v>  Transmission</v>
      </c>
      <c r="D80" s="21" t="s">
        <v>59</v>
      </c>
      <c r="E80" s="21">
        <f>E64-E72</f>
        <v>201416150.79000002</v>
      </c>
      <c r="F80" s="21"/>
      <c r="G80" s="21"/>
      <c r="H80" s="30"/>
      <c r="I80" s="21"/>
      <c r="J80" s="21">
        <f>J64-J72</f>
        <v>201384051.48204845</v>
      </c>
      <c r="K80" s="21"/>
      <c r="L80" s="34"/>
      <c r="M80" s="7"/>
      <c r="N80" s="10"/>
      <c r="O80" s="10"/>
      <c r="P80" s="9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</row>
    <row r="81" spans="1:63" ht="15">
      <c r="A81" s="75">
        <v>15</v>
      </c>
      <c r="C81" s="18" t="str">
        <f>+C73</f>
        <v>  Distribution</v>
      </c>
      <c r="D81" s="21" t="s">
        <v>60</v>
      </c>
      <c r="E81" s="21">
        <f>E65-E73</f>
        <v>432588860</v>
      </c>
      <c r="F81" s="21"/>
      <c r="G81" s="21"/>
      <c r="H81" s="34"/>
      <c r="I81" s="21"/>
      <c r="J81" s="21" t="s">
        <v>2</v>
      </c>
      <c r="K81" s="21"/>
      <c r="L81" s="34"/>
      <c r="M81" s="7"/>
      <c r="N81" s="10"/>
      <c r="O81" s="10"/>
      <c r="P81" s="9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</row>
    <row r="82" spans="1:63" ht="15">
      <c r="A82" s="75">
        <v>16</v>
      </c>
      <c r="C82" s="18" t="str">
        <f>+C74</f>
        <v>  General &amp; Intangible</v>
      </c>
      <c r="D82" s="21" t="s">
        <v>61</v>
      </c>
      <c r="E82" s="21">
        <f>E66-E74</f>
        <v>97527161</v>
      </c>
      <c r="F82" s="21"/>
      <c r="G82" s="21"/>
      <c r="H82" s="34"/>
      <c r="I82" s="21"/>
      <c r="J82" s="21">
        <f>J66-J74</f>
        <v>5319188.828076534</v>
      </c>
      <c r="K82" s="21"/>
      <c r="L82" s="34"/>
      <c r="M82" s="7"/>
      <c r="N82" s="10"/>
      <c r="O82" s="11"/>
      <c r="P82" s="9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</row>
    <row r="83" spans="1:63" ht="15.75" thickBot="1">
      <c r="A83" s="75">
        <v>17</v>
      </c>
      <c r="C83" s="18" t="str">
        <f>+C75</f>
        <v>  Common</v>
      </c>
      <c r="D83" s="21" t="s">
        <v>62</v>
      </c>
      <c r="E83" s="68">
        <f>E67-E75</f>
        <v>0</v>
      </c>
      <c r="F83" s="21"/>
      <c r="G83" s="21"/>
      <c r="H83" s="34"/>
      <c r="I83" s="21"/>
      <c r="J83" s="68">
        <f>J67-J75</f>
        <v>0</v>
      </c>
      <c r="K83" s="21"/>
      <c r="L83" s="34"/>
      <c r="M83" s="7"/>
      <c r="N83" s="10"/>
      <c r="O83" s="11"/>
      <c r="P83" s="9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</row>
    <row r="84" spans="1:63" ht="15">
      <c r="A84" s="75">
        <v>18</v>
      </c>
      <c r="C84" s="18" t="s">
        <v>63</v>
      </c>
      <c r="D84" s="21"/>
      <c r="E84" s="21">
        <f>SUM(E79:E83)</f>
        <v>1428878462.79</v>
      </c>
      <c r="F84" s="21"/>
      <c r="G84" s="21" t="s">
        <v>64</v>
      </c>
      <c r="H84" s="34">
        <f>IF(J84&gt;0,J84/E84,0)</f>
        <v>0.14466117706506704</v>
      </c>
      <c r="I84" s="21"/>
      <c r="J84" s="21">
        <f>SUM(J79:J83)</f>
        <v>206703240.310125</v>
      </c>
      <c r="K84" s="21"/>
      <c r="L84" s="21"/>
      <c r="M84" s="7"/>
      <c r="N84" s="13"/>
      <c r="O84" s="10"/>
      <c r="P84" s="9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</row>
    <row r="85" spans="1:63" ht="15.75">
      <c r="A85" s="75"/>
      <c r="D85" s="260"/>
      <c r="F85" s="21"/>
      <c r="I85" s="21"/>
      <c r="K85" s="21"/>
      <c r="L85" s="34"/>
      <c r="M85" s="7"/>
      <c r="N85" s="10"/>
      <c r="O85" s="10"/>
      <c r="P85" s="9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</row>
    <row r="86" spans="1:63" ht="15">
      <c r="A86" s="75"/>
      <c r="C86" s="49" t="s">
        <v>458</v>
      </c>
      <c r="D86" s="58"/>
      <c r="E86" s="21"/>
      <c r="F86" s="21"/>
      <c r="G86" s="21"/>
      <c r="H86" s="21"/>
      <c r="I86" s="21"/>
      <c r="J86" s="21"/>
      <c r="K86" s="21"/>
      <c r="L86" s="21"/>
      <c r="M86" s="7"/>
      <c r="N86" s="10" t="s">
        <v>2</v>
      </c>
      <c r="O86" s="10"/>
      <c r="P86" s="9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</row>
    <row r="87" spans="1:63" ht="15">
      <c r="A87" s="75">
        <v>19</v>
      </c>
      <c r="C87" s="18" t="s">
        <v>194</v>
      </c>
      <c r="D87" s="21" t="s">
        <v>65</v>
      </c>
      <c r="E87" s="104">
        <v>-594336</v>
      </c>
      <c r="F87" s="21" t="s">
        <v>2</v>
      </c>
      <c r="G87" s="58" t="str">
        <f>+G71</f>
        <v>NA</v>
      </c>
      <c r="H87" s="152" t="s">
        <v>258</v>
      </c>
      <c r="I87" s="21"/>
      <c r="J87" s="21">
        <v>0</v>
      </c>
      <c r="K87" s="21"/>
      <c r="L87" s="34"/>
      <c r="M87" s="7"/>
      <c r="N87" s="14"/>
      <c r="O87" s="11"/>
      <c r="P87" s="9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</row>
    <row r="88" spans="1:63" ht="15">
      <c r="A88" s="75">
        <v>20</v>
      </c>
      <c r="C88" s="18" t="s">
        <v>195</v>
      </c>
      <c r="D88" s="21" t="s">
        <v>67</v>
      </c>
      <c r="E88" s="238">
        <f>-277370381+12074</f>
        <v>-277358307</v>
      </c>
      <c r="F88" s="21" t="s">
        <v>2</v>
      </c>
      <c r="G88" s="21" t="s">
        <v>66</v>
      </c>
      <c r="H88" s="30">
        <f>+H84</f>
        <v>0.14466117706506704</v>
      </c>
      <c r="I88" s="21"/>
      <c r="J88" s="21">
        <f>E88*H88</f>
        <v>-40122979.15939422</v>
      </c>
      <c r="K88" s="21"/>
      <c r="L88" s="34"/>
      <c r="M88" s="7"/>
      <c r="N88" s="14"/>
      <c r="O88" s="11"/>
      <c r="P88" s="9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</row>
    <row r="89" spans="1:63" ht="15">
      <c r="A89" s="75">
        <v>21</v>
      </c>
      <c r="C89" s="18" t="s">
        <v>196</v>
      </c>
      <c r="D89" s="21" t="s">
        <v>68</v>
      </c>
      <c r="E89" s="242">
        <v>-16936565</v>
      </c>
      <c r="F89" s="21" t="s">
        <v>2</v>
      </c>
      <c r="G89" s="21" t="s">
        <v>66</v>
      </c>
      <c r="H89" s="30">
        <f>+H88</f>
        <v>0.14466117706506704</v>
      </c>
      <c r="I89" s="21"/>
      <c r="J89" s="21">
        <f>E89*H89</f>
        <v>-2450063.428339017</v>
      </c>
      <c r="K89" s="21"/>
      <c r="L89" s="34"/>
      <c r="M89" s="7"/>
      <c r="N89" s="14"/>
      <c r="O89" s="11"/>
      <c r="P89" s="9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</row>
    <row r="90" spans="1:63" ht="15">
      <c r="A90" s="75">
        <v>22</v>
      </c>
      <c r="C90" s="18" t="s">
        <v>363</v>
      </c>
      <c r="D90" s="21" t="s">
        <v>69</v>
      </c>
      <c r="E90" s="242">
        <f>+H349</f>
        <v>46629479</v>
      </c>
      <c r="F90" s="21" t="s">
        <v>2</v>
      </c>
      <c r="G90" s="21" t="str">
        <f>+G89</f>
        <v>NP</v>
      </c>
      <c r="H90" s="30">
        <f>+H89</f>
        <v>0.14466117706506704</v>
      </c>
      <c r="I90" s="21"/>
      <c r="J90" s="21">
        <f>E90*H90</f>
        <v>6745475.318070825</v>
      </c>
      <c r="K90" s="21"/>
      <c r="L90" s="34"/>
      <c r="M90" s="7"/>
      <c r="N90" s="14"/>
      <c r="O90" s="11"/>
      <c r="P90" s="9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</row>
    <row r="91" spans="1:63" ht="16.5" thickBot="1">
      <c r="A91" s="75">
        <v>23</v>
      </c>
      <c r="C91" t="s">
        <v>364</v>
      </c>
      <c r="D91" s="163" t="s">
        <v>492</v>
      </c>
      <c r="E91" s="105">
        <v>0</v>
      </c>
      <c r="F91" s="21" t="s">
        <v>2</v>
      </c>
      <c r="G91" s="21" t="s">
        <v>66</v>
      </c>
      <c r="H91" s="30">
        <f>+H89</f>
        <v>0.14466117706506704</v>
      </c>
      <c r="I91" s="21"/>
      <c r="J91" s="68">
        <f>E91*H91</f>
        <v>0</v>
      </c>
      <c r="K91" s="21"/>
      <c r="L91" s="34"/>
      <c r="M91" s="7"/>
      <c r="N91" s="14"/>
      <c r="O91" s="11"/>
      <c r="P91" s="9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</row>
    <row r="92" spans="1:63" ht="15">
      <c r="A92" s="75">
        <v>24</v>
      </c>
      <c r="C92" s="18" t="s">
        <v>193</v>
      </c>
      <c r="D92" s="21"/>
      <c r="E92" s="21">
        <f>SUM(E87:E91)</f>
        <v>-248259729</v>
      </c>
      <c r="F92" s="21"/>
      <c r="G92" s="21"/>
      <c r="H92" s="21"/>
      <c r="I92" s="21"/>
      <c r="J92" s="21">
        <f>SUM(J87:J91)</f>
        <v>-35827567.26966241</v>
      </c>
      <c r="K92" s="21"/>
      <c r="L92" s="21"/>
      <c r="M92" s="7"/>
      <c r="N92" s="12"/>
      <c r="O92" s="10"/>
      <c r="P92" s="9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</row>
    <row r="93" spans="1:63" ht="15">
      <c r="A93" s="75"/>
      <c r="D93" s="21"/>
      <c r="F93" s="21"/>
      <c r="G93" s="21"/>
      <c r="H93" s="34"/>
      <c r="I93" s="21"/>
      <c r="K93" s="21"/>
      <c r="L93" s="34"/>
      <c r="M93" s="7"/>
      <c r="N93" s="10"/>
      <c r="O93" s="10"/>
      <c r="P93" s="9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</row>
    <row r="94" spans="1:63" ht="15">
      <c r="A94" s="75">
        <v>25</v>
      </c>
      <c r="C94" s="49" t="s">
        <v>71</v>
      </c>
      <c r="D94" s="21" t="s">
        <v>72</v>
      </c>
      <c r="E94" s="104">
        <v>0</v>
      </c>
      <c r="F94" s="21"/>
      <c r="G94" s="21" t="str">
        <f>+G72</f>
        <v>TP</v>
      </c>
      <c r="H94" s="30">
        <f>+H72</f>
        <v>0.9998406319064997</v>
      </c>
      <c r="I94" s="21"/>
      <c r="J94" s="21">
        <f>+H94*E94</f>
        <v>0</v>
      </c>
      <c r="K94" s="21"/>
      <c r="L94" s="21"/>
      <c r="M94" s="7"/>
      <c r="N94" s="10"/>
      <c r="O94" s="10"/>
      <c r="P94" s="9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</row>
    <row r="95" spans="1:63" ht="15">
      <c r="A95" s="75"/>
      <c r="C95" s="18"/>
      <c r="D95" s="21"/>
      <c r="E95" s="21"/>
      <c r="F95" s="21"/>
      <c r="G95" s="21"/>
      <c r="H95" s="21"/>
      <c r="I95" s="21"/>
      <c r="J95" s="21"/>
      <c r="K95" s="21"/>
      <c r="L95" s="21"/>
      <c r="M95" s="7"/>
      <c r="N95" s="10"/>
      <c r="O95" s="10"/>
      <c r="P95" s="9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</row>
    <row r="96" spans="1:63" ht="15.75">
      <c r="A96" s="75"/>
      <c r="C96" s="18" t="s">
        <v>246</v>
      </c>
      <c r="D96" s="260"/>
      <c r="E96" s="21"/>
      <c r="F96" s="21"/>
      <c r="G96" s="21"/>
      <c r="H96" s="21"/>
      <c r="I96" s="21"/>
      <c r="J96" s="21"/>
      <c r="K96" s="21"/>
      <c r="L96" s="21"/>
      <c r="M96" s="7"/>
      <c r="N96" s="10"/>
      <c r="O96" s="10"/>
      <c r="P96" s="9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</row>
    <row r="97" spans="1:63" ht="15">
      <c r="A97" s="75">
        <v>26</v>
      </c>
      <c r="C97" s="18" t="s">
        <v>247</v>
      </c>
      <c r="D97" s="163" t="s">
        <v>243</v>
      </c>
      <c r="E97" s="21">
        <f>+E125/8</f>
        <v>12035922.110625</v>
      </c>
      <c r="F97" s="21"/>
      <c r="G97" s="21"/>
      <c r="H97" s="34"/>
      <c r="I97" s="21"/>
      <c r="J97" s="21">
        <f>+J125/8</f>
        <v>4989936.54865342</v>
      </c>
      <c r="K97" s="16"/>
      <c r="L97" s="34"/>
      <c r="M97" s="7"/>
      <c r="N97" s="15"/>
      <c r="O97" s="11"/>
      <c r="P97" s="9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</row>
    <row r="98" spans="1:63" ht="15">
      <c r="A98" s="75">
        <v>27</v>
      </c>
      <c r="C98" s="18" t="s">
        <v>73</v>
      </c>
      <c r="D98" s="21" t="s">
        <v>478</v>
      </c>
      <c r="E98" s="242">
        <v>568105</v>
      </c>
      <c r="F98" s="21"/>
      <c r="G98" s="21" t="s">
        <v>74</v>
      </c>
      <c r="H98" s="30">
        <f>J190</f>
        <v>0.9918557703653756</v>
      </c>
      <c r="I98" s="21"/>
      <c r="J98" s="21">
        <f>+H98*E98</f>
        <v>563478.2224234217</v>
      </c>
      <c r="K98" s="21" t="s">
        <v>2</v>
      </c>
      <c r="L98" s="34"/>
      <c r="M98" s="7"/>
      <c r="N98" s="15"/>
      <c r="O98" s="11"/>
      <c r="P98" s="9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</row>
    <row r="99" spans="1:63" ht="15.75" thickBot="1">
      <c r="A99" s="75">
        <v>28</v>
      </c>
      <c r="C99" s="18" t="s">
        <v>365</v>
      </c>
      <c r="D99" s="21" t="s">
        <v>479</v>
      </c>
      <c r="E99" s="105">
        <f>5242387.44</f>
        <v>5242387.44</v>
      </c>
      <c r="F99" s="21" t="s">
        <v>2</v>
      </c>
      <c r="G99" s="21" t="s">
        <v>75</v>
      </c>
      <c r="H99" s="30">
        <f>+H68</f>
        <v>0.13553044677361487</v>
      </c>
      <c r="I99" s="21"/>
      <c r="J99" s="68">
        <f>+H99*E99</f>
        <v>710503.1119035871</v>
      </c>
      <c r="K99" s="21"/>
      <c r="L99" s="34"/>
      <c r="M99" s="7"/>
      <c r="N99" s="15"/>
      <c r="O99" s="11"/>
      <c r="P99" s="9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</row>
    <row r="100" spans="1:63" ht="15">
      <c r="A100" s="75">
        <v>29</v>
      </c>
      <c r="C100" s="18" t="s">
        <v>76</v>
      </c>
      <c r="D100" s="16"/>
      <c r="E100" s="21">
        <f>E97+E98+E99</f>
        <v>17846414.550625</v>
      </c>
      <c r="F100" s="16"/>
      <c r="G100" s="16"/>
      <c r="H100" s="16"/>
      <c r="I100" s="16"/>
      <c r="J100" s="21">
        <f>J97+J98+J99</f>
        <v>6263917.882980429</v>
      </c>
      <c r="K100" s="16"/>
      <c r="L100" s="16"/>
      <c r="M100" s="7"/>
      <c r="N100" s="12"/>
      <c r="O100" s="10"/>
      <c r="P100" s="9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</row>
    <row r="101" spans="4:63" ht="15.75" thickBot="1">
      <c r="D101" s="21"/>
      <c r="E101" s="83"/>
      <c r="F101" s="21"/>
      <c r="G101" s="21"/>
      <c r="H101" s="21"/>
      <c r="I101" s="21"/>
      <c r="J101" s="83"/>
      <c r="K101" s="21"/>
      <c r="L101" s="21"/>
      <c r="M101" s="7"/>
      <c r="N101" s="10"/>
      <c r="O101" s="10"/>
      <c r="P101" s="9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</row>
    <row r="102" spans="1:63" ht="15.75" thickBot="1">
      <c r="A102" s="75">
        <v>30</v>
      </c>
      <c r="C102" s="18" t="s">
        <v>198</v>
      </c>
      <c r="D102" s="21"/>
      <c r="E102" s="82">
        <f>+E100+E94+E92+E84</f>
        <v>1198465148.340625</v>
      </c>
      <c r="F102" s="21"/>
      <c r="G102" s="21"/>
      <c r="H102" s="34"/>
      <c r="I102" s="21"/>
      <c r="J102" s="82">
        <f>+J100+J94+J92+J84</f>
        <v>177139590.92344302</v>
      </c>
      <c r="K102" s="21"/>
      <c r="L102" s="34"/>
      <c r="M102" s="10"/>
      <c r="N102" s="10"/>
      <c r="O102" s="10"/>
      <c r="P102" s="9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</row>
    <row r="103" spans="1:63" ht="15.75" thickTop="1">
      <c r="A103" s="75"/>
      <c r="C103" s="18"/>
      <c r="D103" s="21"/>
      <c r="E103" s="21"/>
      <c r="F103" s="21"/>
      <c r="G103" s="21"/>
      <c r="H103" s="21"/>
      <c r="I103" s="21"/>
      <c r="J103" s="21"/>
      <c r="K103" s="21"/>
      <c r="L103" s="21"/>
      <c r="M103" s="10"/>
      <c r="N103" s="10"/>
      <c r="O103" s="10"/>
      <c r="P103" s="9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</row>
    <row r="104" spans="1:63" ht="15">
      <c r="A104" s="75"/>
      <c r="C104" s="18"/>
      <c r="D104" s="21"/>
      <c r="E104" s="21"/>
      <c r="F104" s="21"/>
      <c r="G104" s="21"/>
      <c r="H104" s="21"/>
      <c r="I104" s="21"/>
      <c r="J104" s="21"/>
      <c r="K104" s="21"/>
      <c r="L104" s="21"/>
      <c r="M104" s="10"/>
      <c r="N104" s="10"/>
      <c r="O104" s="10"/>
      <c r="P104" s="9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</row>
    <row r="105" spans="1:63" ht="15">
      <c r="A105" s="75"/>
      <c r="C105" s="18"/>
      <c r="D105" s="21"/>
      <c r="E105" s="21"/>
      <c r="F105" s="21"/>
      <c r="G105" s="21"/>
      <c r="H105" s="21"/>
      <c r="I105" s="21"/>
      <c r="J105" s="21"/>
      <c r="K105" s="21"/>
      <c r="L105" s="21"/>
      <c r="M105" s="10"/>
      <c r="N105" s="10"/>
      <c r="O105" s="10"/>
      <c r="P105" s="9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</row>
    <row r="106" spans="1:63" ht="15">
      <c r="A106" s="75"/>
      <c r="C106" s="18" t="str">
        <f>C1</f>
        <v>Formula Rate - Non-Levelized </v>
      </c>
      <c r="D106" s="21"/>
      <c r="E106" s="21" t="str">
        <f>E1</f>
        <v>     Rate Formula Template</v>
      </c>
      <c r="F106" s="21"/>
      <c r="G106" s="21"/>
      <c r="J106" t="str">
        <f>+J1</f>
        <v>Statement BK</v>
      </c>
      <c r="K106" s="21"/>
      <c r="L106" s="21"/>
      <c r="M106" s="10"/>
      <c r="N106" s="10"/>
      <c r="O106" s="10"/>
      <c r="P106" s="9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</row>
    <row r="107" spans="1:63" ht="15">
      <c r="A107" s="75"/>
      <c r="C107" s="18"/>
      <c r="D107" s="21"/>
      <c r="E107" s="21" t="str">
        <f>E2</f>
        <v> Utilizing FERC Form 1 Data</v>
      </c>
      <c r="F107" s="21"/>
      <c r="G107" s="21"/>
      <c r="H107" s="21"/>
      <c r="J107" t="str">
        <f>+J2</f>
        <v>Schedule WEN</v>
      </c>
      <c r="K107" s="21"/>
      <c r="L107" s="21"/>
      <c r="M107" s="10"/>
      <c r="N107" s="10"/>
      <c r="O107" s="10"/>
      <c r="P107" s="9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</row>
    <row r="108" spans="1:63" ht="15">
      <c r="A108" s="75"/>
      <c r="D108" s="21"/>
      <c r="E108" s="21"/>
      <c r="F108" s="21"/>
      <c r="G108" s="21"/>
      <c r="H108" s="21"/>
      <c r="I108" s="21" t="str">
        <f>I3</f>
        <v>For the 12 months ended 12/31/04</v>
      </c>
      <c r="K108" s="21"/>
      <c r="L108" s="21"/>
      <c r="M108" s="10"/>
      <c r="N108" s="10"/>
      <c r="O108" s="10"/>
      <c r="P108" s="9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</row>
    <row r="109" spans="1:63" ht="15">
      <c r="A109" s="75"/>
      <c r="D109" s="28"/>
      <c r="E109" s="35" t="str">
        <f>+E4</f>
        <v>WESTAR ENERGY, INC.</v>
      </c>
      <c r="F109" s="28"/>
      <c r="G109" s="28"/>
      <c r="H109" s="28"/>
      <c r="I109" s="21"/>
      <c r="J109" s="21" t="s">
        <v>397</v>
      </c>
      <c r="K109" s="21"/>
      <c r="L109" s="21"/>
      <c r="M109" s="10"/>
      <c r="N109" s="10"/>
      <c r="O109" s="10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</row>
    <row r="110" spans="1:63" ht="15">
      <c r="A110" s="75"/>
      <c r="D110" s="28"/>
      <c r="E110" s="35" t="str">
        <f>+E5</f>
        <v>(WEN)</v>
      </c>
      <c r="F110" s="28"/>
      <c r="G110" s="28"/>
      <c r="H110" s="28"/>
      <c r="I110" s="21"/>
      <c r="J110" s="21"/>
      <c r="K110" s="21"/>
      <c r="L110" s="21"/>
      <c r="M110" s="10"/>
      <c r="N110" s="10"/>
      <c r="O110" s="10"/>
      <c r="P110" s="9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</row>
    <row r="111" spans="1:63" ht="15">
      <c r="A111" s="75"/>
      <c r="C111" s="20" t="s">
        <v>32</v>
      </c>
      <c r="D111" s="20" t="s">
        <v>33</v>
      </c>
      <c r="E111" s="20" t="s">
        <v>34</v>
      </c>
      <c r="F111" s="21" t="s">
        <v>2</v>
      </c>
      <c r="G111" s="21"/>
      <c r="H111" s="23" t="s">
        <v>35</v>
      </c>
      <c r="I111" s="21"/>
      <c r="J111" s="24" t="s">
        <v>36</v>
      </c>
      <c r="K111" s="21"/>
      <c r="L111" s="21"/>
      <c r="M111" s="10"/>
      <c r="N111" s="7"/>
      <c r="O111" s="10"/>
      <c r="P111" s="9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</row>
    <row r="112" spans="1:63" ht="15.75">
      <c r="A112" s="75"/>
      <c r="C112" s="20"/>
      <c r="D112" s="3"/>
      <c r="E112" s="3"/>
      <c r="F112" s="3"/>
      <c r="G112" s="3"/>
      <c r="H112" s="3"/>
      <c r="I112" s="3"/>
      <c r="J112" s="3"/>
      <c r="K112" s="3"/>
      <c r="L112" s="53"/>
      <c r="M112" s="3"/>
      <c r="N112" s="3"/>
      <c r="O112" s="10"/>
      <c r="P112" s="9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</row>
    <row r="113" spans="1:63" ht="15.75">
      <c r="A113" s="75" t="s">
        <v>4</v>
      </c>
      <c r="C113" s="18"/>
      <c r="D113" s="46" t="s">
        <v>37</v>
      </c>
      <c r="E113" s="21"/>
      <c r="F113" s="21"/>
      <c r="G113" s="21"/>
      <c r="H113" s="52"/>
      <c r="I113" s="21"/>
      <c r="J113" s="53" t="s">
        <v>38</v>
      </c>
      <c r="K113" s="21"/>
      <c r="L113" s="53"/>
      <c r="M113" s="21"/>
      <c r="N113" s="52"/>
      <c r="O113" s="10"/>
      <c r="P113" s="9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</row>
    <row r="114" spans="1:63" ht="16.5" thickBot="1">
      <c r="A114" s="76" t="s">
        <v>6</v>
      </c>
      <c r="C114" s="18"/>
      <c r="D114" s="79" t="s">
        <v>39</v>
      </c>
      <c r="E114" s="53" t="s">
        <v>40</v>
      </c>
      <c r="F114" s="80"/>
      <c r="G114" s="53" t="s">
        <v>41</v>
      </c>
      <c r="H114" s="28"/>
      <c r="I114" s="80"/>
      <c r="J114" s="81" t="s">
        <v>42</v>
      </c>
      <c r="K114" s="21"/>
      <c r="L114" s="84"/>
      <c r="M114" s="85"/>
      <c r="N114" s="53"/>
      <c r="O114" s="10"/>
      <c r="P114" s="9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</row>
    <row r="115" spans="3:63" ht="15.75">
      <c r="C115" s="18"/>
      <c r="D115" s="21"/>
      <c r="E115" s="25"/>
      <c r="F115" s="26"/>
      <c r="G115" s="27"/>
      <c r="H115" s="28"/>
      <c r="I115" s="26"/>
      <c r="J115" s="25"/>
      <c r="K115" s="21"/>
      <c r="L115" s="21"/>
      <c r="M115" s="10"/>
      <c r="N115" s="10"/>
      <c r="O115" s="10"/>
      <c r="P115" s="9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</row>
    <row r="116" spans="1:63" ht="15.75">
      <c r="A116" s="75"/>
      <c r="C116" s="18" t="s">
        <v>77</v>
      </c>
      <c r="D116" s="260"/>
      <c r="E116" s="21"/>
      <c r="F116" s="21"/>
      <c r="G116" s="21"/>
      <c r="H116" s="21"/>
      <c r="I116" s="21"/>
      <c r="J116" s="21"/>
      <c r="K116" s="21"/>
      <c r="L116" s="21"/>
      <c r="M116" s="10"/>
      <c r="N116" s="10"/>
      <c r="O116" s="10"/>
      <c r="P116" s="9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</row>
    <row r="117" spans="1:63" ht="15">
      <c r="A117" s="75">
        <v>1</v>
      </c>
      <c r="C117" s="154" t="s">
        <v>457</v>
      </c>
      <c r="D117" s="21" t="s">
        <v>78</v>
      </c>
      <c r="E117" s="104">
        <f>+H355</f>
        <v>46343322.965</v>
      </c>
      <c r="F117" s="21" t="s">
        <v>2</v>
      </c>
      <c r="G117" s="21" t="s">
        <v>74</v>
      </c>
      <c r="H117" s="30">
        <f>J190</f>
        <v>0.9918557703653756</v>
      </c>
      <c r="I117" s="21"/>
      <c r="J117" s="21">
        <f>+H117*E117</f>
        <v>45965892.300741486</v>
      </c>
      <c r="K117" s="16"/>
      <c r="L117" s="21"/>
      <c r="M117" s="10"/>
      <c r="N117" s="10"/>
      <c r="O117" s="11"/>
      <c r="P117" s="10" t="s">
        <v>2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</row>
    <row r="118" spans="1:63" ht="15">
      <c r="A118" s="75">
        <v>2</v>
      </c>
      <c r="C118" s="18" t="s">
        <v>79</v>
      </c>
      <c r="D118" s="21" t="s">
        <v>80</v>
      </c>
      <c r="E118" s="104">
        <v>9477105</v>
      </c>
      <c r="F118" s="21" t="s">
        <v>2</v>
      </c>
      <c r="G118" s="21" t="s">
        <v>2</v>
      </c>
      <c r="H118" s="30">
        <v>1</v>
      </c>
      <c r="I118" s="21"/>
      <c r="J118" s="21">
        <f aca="true" t="shared" si="2" ref="J118:J124">+H118*E118</f>
        <v>9477105</v>
      </c>
      <c r="K118" s="16"/>
      <c r="L118" s="21"/>
      <c r="M118" s="10"/>
      <c r="N118" s="10"/>
      <c r="O118" s="11"/>
      <c r="P118" s="10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</row>
    <row r="119" spans="1:63" ht="15">
      <c r="A119" s="75">
        <v>3</v>
      </c>
      <c r="C119" s="18" t="s">
        <v>81</v>
      </c>
      <c r="D119" s="21" t="s">
        <v>82</v>
      </c>
      <c r="E119" s="104">
        <v>60389982</v>
      </c>
      <c r="F119" s="21" t="s">
        <v>2</v>
      </c>
      <c r="G119" s="21" t="s">
        <v>50</v>
      </c>
      <c r="H119" s="30">
        <f>+H74</f>
        <v>0.05454058924238073</v>
      </c>
      <c r="I119" s="21"/>
      <c r="J119" s="21">
        <f t="shared" si="2"/>
        <v>3293705.2026167656</v>
      </c>
      <c r="K119" s="21"/>
      <c r="L119" s="21" t="s">
        <v>2</v>
      </c>
      <c r="M119" s="10"/>
      <c r="N119" s="278"/>
      <c r="O119" s="11"/>
      <c r="P119" s="9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</row>
    <row r="120" spans="1:63" ht="15">
      <c r="A120" s="75">
        <v>4</v>
      </c>
      <c r="C120" s="18" t="s">
        <v>83</v>
      </c>
      <c r="D120" s="21"/>
      <c r="E120" s="104">
        <v>-159018</v>
      </c>
      <c r="F120" s="21"/>
      <c r="G120" s="21" t="str">
        <f>+G119</f>
        <v>W/S</v>
      </c>
      <c r="H120" s="30">
        <f>+H119</f>
        <v>0.05454058924238073</v>
      </c>
      <c r="I120" s="21"/>
      <c r="J120" s="21">
        <f t="shared" si="2"/>
        <v>-8672.935420144899</v>
      </c>
      <c r="K120" s="21"/>
      <c r="L120" s="21"/>
      <c r="M120" s="10"/>
      <c r="N120" s="277"/>
      <c r="O120" s="11"/>
      <c r="P120" s="9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</row>
    <row r="121" spans="1:63" ht="15">
      <c r="A121" s="75">
        <v>5</v>
      </c>
      <c r="C121" s="154" t="s">
        <v>263</v>
      </c>
      <c r="D121" s="58"/>
      <c r="E121" s="238">
        <f>1029521-E120+141838.08</f>
        <v>1330377.08</v>
      </c>
      <c r="F121" s="21" t="s">
        <v>2</v>
      </c>
      <c r="G121" s="21" t="str">
        <f>+G120</f>
        <v>W/S</v>
      </c>
      <c r="H121" s="30">
        <f>+H120</f>
        <v>0.05454058924238073</v>
      </c>
      <c r="I121" s="21"/>
      <c r="J121" s="21">
        <f t="shared" si="2"/>
        <v>72559.54985775788</v>
      </c>
      <c r="K121" s="21"/>
      <c r="L121" s="21"/>
      <c r="M121" s="10"/>
      <c r="N121" s="10"/>
      <c r="O121" s="11"/>
      <c r="P121" s="9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</row>
    <row r="122" spans="1:63" ht="15">
      <c r="A122" s="75" t="s">
        <v>256</v>
      </c>
      <c r="C122" s="154" t="s">
        <v>257</v>
      </c>
      <c r="D122" s="58"/>
      <c r="E122" s="104">
        <v>202536</v>
      </c>
      <c r="F122" s="21" t="s">
        <v>2</v>
      </c>
      <c r="G122" s="160" t="str">
        <f>+G117</f>
        <v>TE</v>
      </c>
      <c r="H122" s="156">
        <f>+H117</f>
        <v>0.9918557703653756</v>
      </c>
      <c r="I122" s="21"/>
      <c r="J122" s="21">
        <f>+H122*E122</f>
        <v>200886.50030672172</v>
      </c>
      <c r="K122" s="21"/>
      <c r="L122" s="21"/>
      <c r="M122" s="10"/>
      <c r="N122" s="279"/>
      <c r="O122" s="11"/>
      <c r="P122" s="9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</row>
    <row r="123" spans="1:63" ht="15">
      <c r="A123" s="75">
        <v>6</v>
      </c>
      <c r="C123" s="18" t="s">
        <v>51</v>
      </c>
      <c r="D123" s="21" t="str">
        <f>+D75</f>
        <v>356.1</v>
      </c>
      <c r="E123" s="104">
        <v>0</v>
      </c>
      <c r="F123" s="21"/>
      <c r="G123" s="21" t="s">
        <v>137</v>
      </c>
      <c r="H123" s="30">
        <f>+H75</f>
        <v>0.05454058924238073</v>
      </c>
      <c r="I123" s="21"/>
      <c r="J123" s="21">
        <f t="shared" si="2"/>
        <v>0</v>
      </c>
      <c r="K123" s="21"/>
      <c r="L123" s="21"/>
      <c r="M123" s="10"/>
      <c r="N123" s="279"/>
      <c r="O123" s="11"/>
      <c r="P123" s="9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</row>
    <row r="124" spans="1:63" ht="15.75" thickBot="1">
      <c r="A124" s="75">
        <v>7</v>
      </c>
      <c r="C124" s="18" t="s">
        <v>84</v>
      </c>
      <c r="D124" s="21"/>
      <c r="E124" s="105">
        <v>0</v>
      </c>
      <c r="F124" s="21"/>
      <c r="G124" s="21" t="s">
        <v>2</v>
      </c>
      <c r="H124" s="30">
        <v>1</v>
      </c>
      <c r="I124" s="21"/>
      <c r="J124" s="68">
        <f t="shared" si="2"/>
        <v>0</v>
      </c>
      <c r="K124" s="21"/>
      <c r="L124" s="21"/>
      <c r="M124" s="10"/>
      <c r="N124" s="10"/>
      <c r="O124" s="11"/>
      <c r="P124" s="9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</row>
    <row r="125" spans="1:63" ht="15">
      <c r="A125" s="75">
        <v>8</v>
      </c>
      <c r="C125" s="18" t="s">
        <v>262</v>
      </c>
      <c r="D125" s="21"/>
      <c r="E125" s="21">
        <f>+E117-E118+E119-E120-E121+E123+E124+E122</f>
        <v>96287376.885</v>
      </c>
      <c r="F125" s="21"/>
      <c r="G125" s="21"/>
      <c r="H125" s="21"/>
      <c r="I125" s="21"/>
      <c r="J125" s="21">
        <f>+J117-J118+J119-J120-J121+J123+J124+J122</f>
        <v>39919492.38922736</v>
      </c>
      <c r="K125" s="21"/>
      <c r="L125" s="21"/>
      <c r="M125" s="10"/>
      <c r="N125" s="12"/>
      <c r="O125" s="10"/>
      <c r="P125" s="9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</row>
    <row r="126" spans="1:63" ht="15">
      <c r="A126" s="75"/>
      <c r="D126" s="21"/>
      <c r="F126" s="21"/>
      <c r="G126" s="21"/>
      <c r="H126" s="21"/>
      <c r="I126" s="21"/>
      <c r="K126" s="21"/>
      <c r="L126" s="21"/>
      <c r="M126" s="10"/>
      <c r="N126" s="21"/>
      <c r="O126" s="10"/>
      <c r="P126" s="9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</row>
    <row r="127" spans="1:63" ht="15.75">
      <c r="A127" s="75"/>
      <c r="C127" s="18" t="s">
        <v>85</v>
      </c>
      <c r="D127" s="260"/>
      <c r="E127" s="21"/>
      <c r="F127" s="21"/>
      <c r="G127" s="21"/>
      <c r="H127" s="21"/>
      <c r="I127" s="21"/>
      <c r="J127" s="21"/>
      <c r="K127" s="21"/>
      <c r="L127" s="21"/>
      <c r="M127" s="10"/>
      <c r="N127" s="21"/>
      <c r="O127" s="10"/>
      <c r="P127" s="9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</row>
    <row r="128" spans="1:63" ht="15">
      <c r="A128" s="75">
        <v>9</v>
      </c>
      <c r="C128" s="154" t="s">
        <v>47</v>
      </c>
      <c r="D128" s="21" t="s">
        <v>86</v>
      </c>
      <c r="E128" s="104">
        <v>7190967</v>
      </c>
      <c r="F128" s="21"/>
      <c r="G128" s="21" t="s">
        <v>11</v>
      </c>
      <c r="H128" s="30">
        <f>+H94</f>
        <v>0.9998406319064997</v>
      </c>
      <c r="I128" s="21"/>
      <c r="J128" s="21">
        <f>+H128*E128</f>
        <v>7189820.989298787</v>
      </c>
      <c r="K128" s="21"/>
      <c r="L128" s="34"/>
      <c r="M128" s="10"/>
      <c r="N128" s="21"/>
      <c r="O128" s="11"/>
      <c r="P128" s="10" t="s">
        <v>2</v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</row>
    <row r="129" spans="1:63" ht="15">
      <c r="A129" s="75">
        <v>10</v>
      </c>
      <c r="C129" s="18" t="s">
        <v>87</v>
      </c>
      <c r="D129" s="21" t="s">
        <v>88</v>
      </c>
      <c r="E129" s="104">
        <v>10148868</v>
      </c>
      <c r="F129" s="21"/>
      <c r="G129" s="21" t="s">
        <v>50</v>
      </c>
      <c r="H129" s="30">
        <f>+H119</f>
        <v>0.05454058924238073</v>
      </c>
      <c r="I129" s="21"/>
      <c r="J129" s="21">
        <f>+H129*E129</f>
        <v>553525.240863142</v>
      </c>
      <c r="K129" s="21"/>
      <c r="L129" s="34"/>
      <c r="M129" s="10"/>
      <c r="N129" s="21"/>
      <c r="O129" s="11"/>
      <c r="P129" s="10" t="s">
        <v>2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</row>
    <row r="130" spans="1:63" ht="15.75" thickBot="1">
      <c r="A130" s="75">
        <v>11</v>
      </c>
      <c r="C130" s="18" t="str">
        <f>+C123</f>
        <v>  Common</v>
      </c>
      <c r="D130" s="21" t="s">
        <v>89</v>
      </c>
      <c r="E130" s="105">
        <v>0</v>
      </c>
      <c r="F130" s="21"/>
      <c r="G130" s="21" t="s">
        <v>137</v>
      </c>
      <c r="H130" s="30">
        <f>+H123</f>
        <v>0.05454058924238073</v>
      </c>
      <c r="I130" s="21"/>
      <c r="J130" s="68">
        <f>+H130*E130</f>
        <v>0</v>
      </c>
      <c r="K130" s="21"/>
      <c r="L130" s="34"/>
      <c r="M130" s="10"/>
      <c r="N130" s="21"/>
      <c r="O130" s="11"/>
      <c r="P130" s="10" t="s">
        <v>2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</row>
    <row r="131" spans="1:63" ht="15">
      <c r="A131" s="75">
        <v>12</v>
      </c>
      <c r="C131" s="18" t="s">
        <v>90</v>
      </c>
      <c r="D131" s="21"/>
      <c r="E131" s="21">
        <f>SUM(E128:E130)</f>
        <v>17339835</v>
      </c>
      <c r="F131" s="21"/>
      <c r="G131" s="21"/>
      <c r="H131" s="21"/>
      <c r="I131" s="21"/>
      <c r="J131" s="21">
        <f>SUM(J128:J130)</f>
        <v>7743346.230161929</v>
      </c>
      <c r="K131" s="21"/>
      <c r="L131" s="21"/>
      <c r="M131" s="10"/>
      <c r="N131" s="21"/>
      <c r="O131" s="10"/>
      <c r="P131" s="9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</row>
    <row r="132" spans="1:63" ht="15">
      <c r="A132" s="75"/>
      <c r="C132" s="18"/>
      <c r="D132" s="21"/>
      <c r="E132" s="21"/>
      <c r="F132" s="21"/>
      <c r="G132" s="21"/>
      <c r="H132" s="21"/>
      <c r="I132" s="21"/>
      <c r="J132" s="21"/>
      <c r="K132" s="21"/>
      <c r="L132" s="21"/>
      <c r="M132" s="10"/>
      <c r="N132" s="21"/>
      <c r="O132" s="10"/>
      <c r="P132" s="9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</row>
    <row r="133" spans="1:63" ht="15">
      <c r="A133" s="75" t="s">
        <v>2</v>
      </c>
      <c r="C133" s="18" t="s">
        <v>91</v>
      </c>
      <c r="D133" s="28"/>
      <c r="E133" s="21"/>
      <c r="F133" s="21"/>
      <c r="G133" s="21"/>
      <c r="H133" s="21"/>
      <c r="I133" s="21"/>
      <c r="J133" s="21"/>
      <c r="K133" s="21"/>
      <c r="L133" s="21"/>
      <c r="M133" s="10"/>
      <c r="N133" s="21"/>
      <c r="O133" s="10"/>
      <c r="P133" s="9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</row>
    <row r="134" spans="1:63" ht="15.75">
      <c r="A134" s="75"/>
      <c r="C134" s="18" t="s">
        <v>92</v>
      </c>
      <c r="D134" s="269"/>
      <c r="E134" s="28"/>
      <c r="F134" s="21"/>
      <c r="G134" s="21"/>
      <c r="H134" s="28"/>
      <c r="I134" s="21"/>
      <c r="J134" s="28"/>
      <c r="K134" s="21"/>
      <c r="L134" s="34"/>
      <c r="M134" s="10"/>
      <c r="N134" s="15"/>
      <c r="O134" s="11"/>
      <c r="P134" s="9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</row>
    <row r="135" spans="1:63" ht="15">
      <c r="A135" s="75">
        <v>13</v>
      </c>
      <c r="C135" s="18" t="s">
        <v>93</v>
      </c>
      <c r="D135" s="21" t="s">
        <v>480</v>
      </c>
      <c r="E135" s="238">
        <f>4946060.22+10667+18443.02-162164</f>
        <v>4813006.239999999</v>
      </c>
      <c r="F135" s="21"/>
      <c r="G135" s="21" t="s">
        <v>50</v>
      </c>
      <c r="H135" s="36">
        <f>+H129</f>
        <v>0.05454058924238073</v>
      </c>
      <c r="I135" s="21"/>
      <c r="J135" s="21">
        <f>+H135*E135</f>
        <v>262504.1963568553</v>
      </c>
      <c r="K135" s="21"/>
      <c r="L135" s="34"/>
      <c r="M135" s="10"/>
      <c r="N135" s="15"/>
      <c r="O135" s="11"/>
      <c r="P135" s="9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</row>
    <row r="136" spans="1:63" ht="15">
      <c r="A136" s="75">
        <v>14</v>
      </c>
      <c r="C136" s="18" t="s">
        <v>94</v>
      </c>
      <c r="D136" s="21" t="str">
        <f>+D135</f>
        <v>263.i</v>
      </c>
      <c r="E136" s="104">
        <v>0</v>
      </c>
      <c r="F136" s="21"/>
      <c r="G136" s="21" t="str">
        <f>+G135</f>
        <v>W/S</v>
      </c>
      <c r="H136" s="36">
        <f>+H135</f>
        <v>0.05454058924238073</v>
      </c>
      <c r="I136" s="21"/>
      <c r="J136" s="21">
        <f>+H136*E136</f>
        <v>0</v>
      </c>
      <c r="K136" s="21"/>
      <c r="L136" s="34"/>
      <c r="M136" s="10"/>
      <c r="N136" s="15"/>
      <c r="O136" s="11"/>
      <c r="P136" s="9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</row>
    <row r="137" spans="1:63" ht="15">
      <c r="A137" s="75">
        <v>15</v>
      </c>
      <c r="C137" s="18" t="s">
        <v>95</v>
      </c>
      <c r="D137" s="21" t="s">
        <v>2</v>
      </c>
      <c r="E137" s="28"/>
      <c r="F137" s="21"/>
      <c r="G137" s="21"/>
      <c r="H137" s="28"/>
      <c r="I137" s="21"/>
      <c r="J137" s="28"/>
      <c r="K137" s="21"/>
      <c r="L137" s="34"/>
      <c r="M137" s="10"/>
      <c r="N137" s="15"/>
      <c r="O137" s="11"/>
      <c r="P137" s="9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</row>
    <row r="138" spans="1:63" ht="15">
      <c r="A138" s="75">
        <v>16</v>
      </c>
      <c r="C138" s="18" t="s">
        <v>96</v>
      </c>
      <c r="D138" s="21" t="s">
        <v>480</v>
      </c>
      <c r="E138" s="104">
        <f>43799042.18+5493187</f>
        <v>49292229.18</v>
      </c>
      <c r="F138" s="21"/>
      <c r="G138" s="21" t="s">
        <v>75</v>
      </c>
      <c r="H138" s="36">
        <f>+H68</f>
        <v>0.13553044677361487</v>
      </c>
      <c r="I138" s="21"/>
      <c r="J138" s="21">
        <f>+H138*E138</f>
        <v>6680597.843232815</v>
      </c>
      <c r="K138" s="21"/>
      <c r="L138" s="34"/>
      <c r="M138" s="10"/>
      <c r="N138" s="15"/>
      <c r="O138" s="11"/>
      <c r="P138" s="9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</row>
    <row r="139" spans="1:63" ht="15">
      <c r="A139" s="75">
        <v>17</v>
      </c>
      <c r="C139" s="18" t="s">
        <v>97</v>
      </c>
      <c r="D139" s="21" t="s">
        <v>480</v>
      </c>
      <c r="E139" s="104">
        <v>0</v>
      </c>
      <c r="F139" s="21"/>
      <c r="G139" s="58" t="str">
        <f>+G87</f>
        <v>NA</v>
      </c>
      <c r="H139" s="161" t="s">
        <v>258</v>
      </c>
      <c r="I139" s="21"/>
      <c r="J139" s="21">
        <v>0</v>
      </c>
      <c r="K139" s="21"/>
      <c r="L139" s="34"/>
      <c r="M139" s="10"/>
      <c r="N139" s="15"/>
      <c r="O139" s="11"/>
      <c r="P139" s="9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</row>
    <row r="140" spans="1:63" ht="15">
      <c r="A140" s="75">
        <v>18</v>
      </c>
      <c r="C140" s="18" t="s">
        <v>450</v>
      </c>
      <c r="D140" s="21" t="str">
        <f>+D139</f>
        <v>263.i</v>
      </c>
      <c r="E140" s="104">
        <v>5170</v>
      </c>
      <c r="F140" s="21"/>
      <c r="G140" s="21" t="str">
        <f>+G138</f>
        <v>GP</v>
      </c>
      <c r="H140" s="36">
        <f>+H138</f>
        <v>0.13553044677361487</v>
      </c>
      <c r="I140" s="21"/>
      <c r="J140" s="21">
        <f>+H140*E140</f>
        <v>700.6924098195889</v>
      </c>
      <c r="K140" s="21"/>
      <c r="L140" s="34"/>
      <c r="M140" s="10"/>
      <c r="N140" s="15"/>
      <c r="O140" s="11"/>
      <c r="P140" s="9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</row>
    <row r="141" spans="1:63" ht="15.75" thickBot="1">
      <c r="A141" s="75">
        <v>19</v>
      </c>
      <c r="C141" s="18" t="s">
        <v>98</v>
      </c>
      <c r="D141" s="21"/>
      <c r="E141" s="105">
        <v>0</v>
      </c>
      <c r="F141" s="21"/>
      <c r="G141" s="21" t="s">
        <v>75</v>
      </c>
      <c r="H141" s="36">
        <f>+H138</f>
        <v>0.13553044677361487</v>
      </c>
      <c r="I141" s="21"/>
      <c r="J141" s="68">
        <f>+H141*E141</f>
        <v>0</v>
      </c>
      <c r="K141" s="21"/>
      <c r="L141" s="34"/>
      <c r="M141" s="10"/>
      <c r="N141" s="15"/>
      <c r="O141" s="11"/>
      <c r="P141" s="9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</row>
    <row r="142" spans="1:63" ht="15">
      <c r="A142" s="75">
        <v>20</v>
      </c>
      <c r="C142" s="18" t="s">
        <v>99</v>
      </c>
      <c r="D142" s="21"/>
      <c r="E142" s="21">
        <f>SUM(E135:E141)</f>
        <v>54110405.42</v>
      </c>
      <c r="F142" s="21"/>
      <c r="G142" s="21"/>
      <c r="H142" s="36"/>
      <c r="I142" s="21"/>
      <c r="J142" s="21">
        <f>SUM(J135:J141)</f>
        <v>6943802.73199949</v>
      </c>
      <c r="K142" s="21"/>
      <c r="L142" s="21"/>
      <c r="M142" s="10"/>
      <c r="N142" s="12"/>
      <c r="O142" s="10"/>
      <c r="P142" s="9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</row>
    <row r="143" spans="1:63" ht="15">
      <c r="A143" s="75"/>
      <c r="C143" s="18"/>
      <c r="D143" s="21"/>
      <c r="E143" s="21"/>
      <c r="F143" s="21"/>
      <c r="G143" s="21"/>
      <c r="H143" s="36"/>
      <c r="I143" s="21"/>
      <c r="J143" s="21"/>
      <c r="K143" s="21"/>
      <c r="L143" s="21"/>
      <c r="M143" s="10"/>
      <c r="N143" s="12"/>
      <c r="O143" s="10"/>
      <c r="P143" s="9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</row>
    <row r="144" spans="1:63" ht="15">
      <c r="A144" s="75" t="s">
        <v>100</v>
      </c>
      <c r="C144" s="18"/>
      <c r="D144" s="21"/>
      <c r="E144" s="21"/>
      <c r="F144" s="21"/>
      <c r="G144" s="21"/>
      <c r="H144" s="36"/>
      <c r="I144" s="21"/>
      <c r="J144" s="21"/>
      <c r="K144" s="21"/>
      <c r="L144" s="21"/>
      <c r="M144" s="10"/>
      <c r="N144" s="10"/>
      <c r="O144" s="10"/>
      <c r="P144" s="9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</row>
    <row r="145" spans="1:63" ht="15">
      <c r="A145" s="75" t="s">
        <v>2</v>
      </c>
      <c r="C145" s="18" t="s">
        <v>101</v>
      </c>
      <c r="D145" s="21" t="s">
        <v>102</v>
      </c>
      <c r="E145" s="21"/>
      <c r="F145" s="21"/>
      <c r="H145" s="32"/>
      <c r="I145" s="21"/>
      <c r="K145" s="21"/>
      <c r="L145" s="28"/>
      <c r="M145" s="10"/>
      <c r="N145" s="10"/>
      <c r="O145" s="11"/>
      <c r="P145" s="10" t="s">
        <v>2</v>
      </c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</row>
    <row r="146" spans="1:63" ht="15">
      <c r="A146" s="75">
        <v>21</v>
      </c>
      <c r="C146" s="47" t="s">
        <v>231</v>
      </c>
      <c r="D146" s="21"/>
      <c r="E146" s="120">
        <f>IF(E283&gt;0,1-(((1-E284)*(1-E283))/(1-E284*E283*E285)),0)</f>
        <v>0.397775</v>
      </c>
      <c r="F146" s="21"/>
      <c r="H146" s="32"/>
      <c r="I146" s="21"/>
      <c r="K146" s="21"/>
      <c r="L146" s="28"/>
      <c r="M146" s="10"/>
      <c r="N146" s="10"/>
      <c r="O146" s="11"/>
      <c r="P146" s="10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</row>
    <row r="147" spans="1:63" ht="15">
      <c r="A147" s="75">
        <v>22</v>
      </c>
      <c r="C147" t="s">
        <v>232</v>
      </c>
      <c r="D147" s="21"/>
      <c r="E147" s="120">
        <f>IF(J225&gt;0,(E146/(1-E146))*(1-J222/J225),0)</f>
        <v>0.4025778215736832</v>
      </c>
      <c r="F147" s="21"/>
      <c r="H147" s="32"/>
      <c r="I147" s="21"/>
      <c r="K147" s="21"/>
      <c r="L147" s="28"/>
      <c r="M147" s="10"/>
      <c r="N147" s="10"/>
      <c r="O147" s="11"/>
      <c r="P147" s="10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</row>
    <row r="148" spans="1:63" ht="15">
      <c r="A148" s="75"/>
      <c r="C148" s="18" t="s">
        <v>238</v>
      </c>
      <c r="D148" s="21"/>
      <c r="E148" s="21"/>
      <c r="F148" s="21"/>
      <c r="H148" s="32"/>
      <c r="I148" s="21"/>
      <c r="K148" s="21"/>
      <c r="L148" s="28"/>
      <c r="M148" s="10"/>
      <c r="N148" s="10"/>
      <c r="O148" s="11"/>
      <c r="P148" s="10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</row>
    <row r="149" spans="1:63" ht="15">
      <c r="A149" s="75"/>
      <c r="C149" s="18" t="s">
        <v>235</v>
      </c>
      <c r="D149" s="21"/>
      <c r="E149" s="21"/>
      <c r="F149" s="21"/>
      <c r="H149" s="32"/>
      <c r="I149" s="21"/>
      <c r="K149" s="21"/>
      <c r="L149" s="28"/>
      <c r="M149" s="10"/>
      <c r="N149" s="10"/>
      <c r="O149" s="11"/>
      <c r="P149" s="10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</row>
    <row r="150" spans="1:63" ht="15.75">
      <c r="A150" s="75">
        <v>23</v>
      </c>
      <c r="C150" s="47" t="s">
        <v>234</v>
      </c>
      <c r="D150" s="260"/>
      <c r="E150" s="121">
        <f>IF(E146&gt;0,1/(1-E146),0)</f>
        <v>1.6605089459919464</v>
      </c>
      <c r="F150" s="21"/>
      <c r="H150" s="32"/>
      <c r="I150" s="21"/>
      <c r="K150" s="21"/>
      <c r="L150" s="28"/>
      <c r="M150" s="10"/>
      <c r="N150" s="10"/>
      <c r="O150" s="11"/>
      <c r="P150" s="10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</row>
    <row r="151" spans="1:63" ht="15">
      <c r="A151" s="75">
        <v>24</v>
      </c>
      <c r="C151" s="18" t="s">
        <v>233</v>
      </c>
      <c r="D151" s="21"/>
      <c r="E151" s="104">
        <v>-2743570</v>
      </c>
      <c r="F151" s="21"/>
      <c r="H151" s="32"/>
      <c r="I151" s="21"/>
      <c r="K151" s="21"/>
      <c r="L151" s="28"/>
      <c r="M151" s="10"/>
      <c r="N151" s="2"/>
      <c r="O151" s="11"/>
      <c r="P151" s="10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</row>
    <row r="152" spans="1:63" ht="15">
      <c r="A152" s="75"/>
      <c r="C152" s="18"/>
      <c r="D152" s="21"/>
      <c r="E152" s="21"/>
      <c r="F152" s="21"/>
      <c r="H152" s="32"/>
      <c r="I152" s="21"/>
      <c r="K152" s="21"/>
      <c r="L152" s="28"/>
      <c r="M152" s="10"/>
      <c r="N152" s="10"/>
      <c r="O152" s="11"/>
      <c r="P152" s="10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</row>
    <row r="153" spans="1:63" ht="15">
      <c r="A153" s="75">
        <v>25</v>
      </c>
      <c r="C153" s="47" t="s">
        <v>236</v>
      </c>
      <c r="D153" s="74"/>
      <c r="E153" s="21">
        <f>E147*E157</f>
        <v>51506891.615931205</v>
      </c>
      <c r="F153" s="21"/>
      <c r="G153" s="21" t="s">
        <v>46</v>
      </c>
      <c r="H153" s="36"/>
      <c r="I153" s="21"/>
      <c r="J153" s="21">
        <f>E147*J157</f>
        <v>7612995.441058079</v>
      </c>
      <c r="K153" s="21"/>
      <c r="L153" s="31" t="s">
        <v>2</v>
      </c>
      <c r="M153" s="10"/>
      <c r="N153" s="10"/>
      <c r="O153" s="10"/>
      <c r="P153" s="9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</row>
    <row r="154" spans="1:63" ht="15.75" thickBot="1">
      <c r="A154" s="75">
        <v>26</v>
      </c>
      <c r="C154" t="s">
        <v>241</v>
      </c>
      <c r="D154" s="74"/>
      <c r="E154" s="68">
        <f>E150*E151</f>
        <v>-4555722.528955124</v>
      </c>
      <c r="F154" s="21"/>
      <c r="G154" t="s">
        <v>66</v>
      </c>
      <c r="H154" s="36">
        <f>H84</f>
        <v>0.14466117706506704</v>
      </c>
      <c r="I154" s="21"/>
      <c r="J154" s="68">
        <f>H154*E154</f>
        <v>-659036.1834204922</v>
      </c>
      <c r="K154" s="21"/>
      <c r="L154" s="31"/>
      <c r="M154" s="10"/>
      <c r="N154" s="10"/>
      <c r="O154" s="10"/>
      <c r="P154" s="9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</row>
    <row r="155" spans="1:63" ht="15">
      <c r="A155" s="75">
        <v>27</v>
      </c>
      <c r="C155" s="56" t="s">
        <v>209</v>
      </c>
      <c r="D155" t="s">
        <v>242</v>
      </c>
      <c r="E155" s="118">
        <f>+E153+E154</f>
        <v>46951169.08697608</v>
      </c>
      <c r="F155" s="21"/>
      <c r="G155" s="21" t="s">
        <v>2</v>
      </c>
      <c r="H155" s="36" t="s">
        <v>2</v>
      </c>
      <c r="I155" s="21"/>
      <c r="J155" s="118">
        <f>+J153+J154</f>
        <v>6953959.257637586</v>
      </c>
      <c r="K155" s="21"/>
      <c r="L155" s="21"/>
      <c r="M155" s="10"/>
      <c r="N155" s="10"/>
      <c r="O155" s="10"/>
      <c r="P155" s="9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</row>
    <row r="156" spans="1:63" ht="15">
      <c r="A156" s="75" t="s">
        <v>2</v>
      </c>
      <c r="D156" s="37"/>
      <c r="E156" s="21"/>
      <c r="F156" s="21"/>
      <c r="G156" s="21"/>
      <c r="H156" s="36"/>
      <c r="I156" s="21"/>
      <c r="J156" s="21"/>
      <c r="K156" s="21"/>
      <c r="L156" s="21"/>
      <c r="M156" s="10"/>
      <c r="N156" s="10"/>
      <c r="O156" s="10"/>
      <c r="P156" s="9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</row>
    <row r="157" spans="1:63" ht="15">
      <c r="A157" s="75">
        <v>28</v>
      </c>
      <c r="C157" s="18" t="s">
        <v>103</v>
      </c>
      <c r="D157" s="34"/>
      <c r="E157" s="21">
        <f>+$J225*E102</f>
        <v>127942695.4385861</v>
      </c>
      <c r="F157" s="21"/>
      <c r="G157" s="21" t="s">
        <v>46</v>
      </c>
      <c r="H157" s="32"/>
      <c r="I157" s="21"/>
      <c r="J157" s="21">
        <f>+$J225*J102</f>
        <v>18910618.10434255</v>
      </c>
      <c r="K157" s="21"/>
      <c r="L157" s="28"/>
      <c r="M157" s="10"/>
      <c r="N157" s="10"/>
      <c r="O157" s="11"/>
      <c r="P157" s="10" t="s">
        <v>2</v>
      </c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</row>
    <row r="158" spans="1:63" ht="15">
      <c r="A158" s="75"/>
      <c r="C158" s="56" t="s">
        <v>104</v>
      </c>
      <c r="D158" s="28"/>
      <c r="E158" s="21"/>
      <c r="F158" s="21"/>
      <c r="G158" s="21"/>
      <c r="H158" s="32"/>
      <c r="I158" s="21"/>
      <c r="J158" s="21"/>
      <c r="K158" s="21"/>
      <c r="L158" s="34"/>
      <c r="M158" s="10"/>
      <c r="N158" s="10"/>
      <c r="O158" s="11"/>
      <c r="P158" s="10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</row>
    <row r="159" spans="1:63" ht="15.75" thickBot="1">
      <c r="A159" s="75"/>
      <c r="C159" s="18"/>
      <c r="D159" s="28"/>
      <c r="E159" s="68"/>
      <c r="F159" s="21"/>
      <c r="G159" s="21"/>
      <c r="H159" s="32"/>
      <c r="I159" s="21"/>
      <c r="J159" s="68"/>
      <c r="K159" s="21"/>
      <c r="L159" s="34"/>
      <c r="M159" s="10"/>
      <c r="N159" s="10"/>
      <c r="O159" s="11"/>
      <c r="P159" s="10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</row>
    <row r="160" spans="1:63" ht="15.75" thickBot="1">
      <c r="A160" s="75">
        <v>29</v>
      </c>
      <c r="C160" s="18" t="s">
        <v>237</v>
      </c>
      <c r="D160" s="21"/>
      <c r="E160" s="82">
        <f>+E157+E155+E142+E131+E125</f>
        <v>342631481.8305622</v>
      </c>
      <c r="F160" s="21"/>
      <c r="G160" s="21"/>
      <c r="H160" s="21"/>
      <c r="I160" s="21"/>
      <c r="J160" s="82">
        <f>+J157+J155+J142+J131+J125</f>
        <v>80471218.71336892</v>
      </c>
      <c r="K160" s="16"/>
      <c r="L160" s="16"/>
      <c r="M160" s="7"/>
      <c r="N160" s="7"/>
      <c r="O160" s="7"/>
      <c r="P160" s="9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</row>
    <row r="161" spans="1:63" ht="15.75" thickTop="1">
      <c r="A161" s="75"/>
      <c r="C161" s="28"/>
      <c r="D161" s="28"/>
      <c r="E161" s="28"/>
      <c r="F161" s="28"/>
      <c r="G161" s="28"/>
      <c r="H161" s="28"/>
      <c r="I161" s="28"/>
      <c r="J161" s="28"/>
      <c r="K161" s="21"/>
      <c r="L161" s="21"/>
      <c r="M161" s="10"/>
      <c r="N161" s="10"/>
      <c r="O161" s="11"/>
      <c r="P161" s="10" t="s">
        <v>2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</row>
    <row r="162" spans="1:63" ht="15">
      <c r="A162" s="75"/>
      <c r="C162" s="28"/>
      <c r="D162" s="28"/>
      <c r="E162" s="28"/>
      <c r="F162" s="28"/>
      <c r="G162" s="28"/>
      <c r="H162" s="28"/>
      <c r="I162" s="28"/>
      <c r="J162" s="28"/>
      <c r="K162" s="21"/>
      <c r="L162" s="21"/>
      <c r="M162" s="10"/>
      <c r="N162" s="10"/>
      <c r="O162" s="11"/>
      <c r="P162" s="10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</row>
    <row r="163" spans="1:63" ht="15">
      <c r="A163" s="75"/>
      <c r="C163" s="28"/>
      <c r="D163" s="28"/>
      <c r="E163" s="28"/>
      <c r="F163" s="28"/>
      <c r="G163" s="28"/>
      <c r="H163" s="28"/>
      <c r="I163" s="28"/>
      <c r="J163" s="28"/>
      <c r="K163" s="21"/>
      <c r="L163" s="21"/>
      <c r="M163" s="10"/>
      <c r="N163" s="10"/>
      <c r="O163" s="11"/>
      <c r="P163" s="10" t="s">
        <v>2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</row>
    <row r="164" spans="1:63" ht="15">
      <c r="A164" s="75"/>
      <c r="C164" s="18" t="str">
        <f>C1</f>
        <v>Formula Rate - Non-Levelized </v>
      </c>
      <c r="D164" s="28"/>
      <c r="E164" s="28" t="str">
        <f>E1</f>
        <v>     Rate Formula Template</v>
      </c>
      <c r="F164" s="28"/>
      <c r="G164" s="28"/>
      <c r="J164" t="str">
        <f>+J1</f>
        <v>Statement BK</v>
      </c>
      <c r="K164" s="21"/>
      <c r="L164" s="21"/>
      <c r="M164" s="10"/>
      <c r="N164" s="10"/>
      <c r="O164" s="10"/>
      <c r="P164" s="9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</row>
    <row r="165" spans="1:63" ht="15">
      <c r="A165" s="75"/>
      <c r="C165" s="18"/>
      <c r="D165" s="28"/>
      <c r="E165" s="28" t="str">
        <f>E2</f>
        <v> Utilizing FERC Form 1 Data</v>
      </c>
      <c r="F165" s="28"/>
      <c r="G165" s="28"/>
      <c r="H165" s="28"/>
      <c r="J165" t="str">
        <f>+J2</f>
        <v>Schedule WEN</v>
      </c>
      <c r="K165" s="21"/>
      <c r="L165" s="21"/>
      <c r="M165" s="10"/>
      <c r="N165" s="10"/>
      <c r="O165" s="10"/>
      <c r="P165" s="9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</row>
    <row r="166" spans="1:63" ht="15">
      <c r="A166" s="75"/>
      <c r="C166" s="28"/>
      <c r="D166" s="28"/>
      <c r="E166" s="28"/>
      <c r="F166" s="28"/>
      <c r="G166" s="28"/>
      <c r="H166" s="28"/>
      <c r="I166" s="28" t="str">
        <f>I3</f>
        <v>For the 12 months ended 12/31/04</v>
      </c>
      <c r="K166" s="21"/>
      <c r="L166" s="21"/>
      <c r="M166" s="10"/>
      <c r="N166" s="10"/>
      <c r="O166" s="10"/>
      <c r="P166" s="9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</row>
    <row r="167" spans="1:63" ht="15">
      <c r="A167" s="75"/>
      <c r="D167" s="28"/>
      <c r="E167" s="35" t="str">
        <f>+E4</f>
        <v>WESTAR ENERGY, INC.</v>
      </c>
      <c r="F167" s="28"/>
      <c r="G167" s="28"/>
      <c r="H167" s="28"/>
      <c r="I167" s="28"/>
      <c r="J167" s="28" t="s">
        <v>398</v>
      </c>
      <c r="K167" s="21"/>
      <c r="L167" s="21"/>
      <c r="M167" s="10"/>
      <c r="N167" s="10"/>
      <c r="O167" s="10"/>
      <c r="P167" s="9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</row>
    <row r="168" spans="1:63" ht="15">
      <c r="A168" s="75"/>
      <c r="D168" s="18"/>
      <c r="E168" s="35" t="str">
        <f>+E5</f>
        <v>(WEN)</v>
      </c>
      <c r="F168" s="18"/>
      <c r="G168" s="18"/>
      <c r="H168" s="18"/>
      <c r="I168" s="18"/>
      <c r="J168" s="18"/>
      <c r="K168" s="18"/>
      <c r="L168" s="18"/>
      <c r="M168" s="9"/>
      <c r="N168" s="9"/>
      <c r="O168" s="9"/>
      <c r="P168" s="9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</row>
    <row r="169" spans="1:63" ht="15.75">
      <c r="A169" s="75"/>
      <c r="C169" s="28"/>
      <c r="D169" s="248" t="s">
        <v>382</v>
      </c>
      <c r="E169" s="249"/>
      <c r="F169" s="250"/>
      <c r="G169" s="250"/>
      <c r="H169" s="16"/>
      <c r="I169" s="16"/>
      <c r="J169" s="16"/>
      <c r="K169" s="21"/>
      <c r="L169" s="21"/>
      <c r="M169" s="10"/>
      <c r="N169" s="7"/>
      <c r="O169" s="10"/>
      <c r="P169" s="9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</row>
    <row r="170" spans="1:63" ht="15.75">
      <c r="A170" s="75"/>
      <c r="C170" s="29"/>
      <c r="D170" s="16"/>
      <c r="E170" s="16"/>
      <c r="F170" s="16"/>
      <c r="G170" s="16"/>
      <c r="H170" s="16"/>
      <c r="I170" s="16"/>
      <c r="J170" s="16"/>
      <c r="K170" s="21"/>
      <c r="L170" s="21"/>
      <c r="M170" s="10"/>
      <c r="N170" s="7"/>
      <c r="O170" s="10"/>
      <c r="P170" s="9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</row>
    <row r="171" spans="1:63" ht="15.75">
      <c r="A171" s="75" t="s">
        <v>4</v>
      </c>
      <c r="C171" s="29"/>
      <c r="D171" s="16"/>
      <c r="E171" s="16"/>
      <c r="F171" s="16"/>
      <c r="G171" s="16"/>
      <c r="H171" s="16"/>
      <c r="I171" s="16"/>
      <c r="J171" s="16"/>
      <c r="K171" s="21"/>
      <c r="L171" s="21"/>
      <c r="M171" s="10"/>
      <c r="N171" s="7"/>
      <c r="O171" s="10"/>
      <c r="P171" s="9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</row>
    <row r="172" spans="1:63" ht="15.75" thickBot="1">
      <c r="A172" s="76" t="s">
        <v>6</v>
      </c>
      <c r="C172" s="141" t="s">
        <v>359</v>
      </c>
      <c r="D172" s="142"/>
      <c r="E172" s="142"/>
      <c r="F172" s="142"/>
      <c r="G172" s="142"/>
      <c r="H172" s="142"/>
      <c r="I172" s="143"/>
      <c r="J172" s="143"/>
      <c r="K172" s="21"/>
      <c r="L172" s="21"/>
      <c r="M172" s="10"/>
      <c r="N172" s="7"/>
      <c r="O172" s="10"/>
      <c r="P172" s="9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</row>
    <row r="173" spans="1:63" ht="15">
      <c r="A173" s="75"/>
      <c r="C173" s="141"/>
      <c r="D173" s="142"/>
      <c r="E173" s="142"/>
      <c r="F173" s="142"/>
      <c r="G173" s="142"/>
      <c r="H173" s="142"/>
      <c r="I173" s="142"/>
      <c r="J173" s="142"/>
      <c r="K173" s="21"/>
      <c r="L173" s="21"/>
      <c r="M173" s="10"/>
      <c r="N173" s="7"/>
      <c r="O173" s="10"/>
      <c r="P173" s="9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</row>
    <row r="174" spans="1:63" ht="15">
      <c r="A174" s="75">
        <v>1</v>
      </c>
      <c r="C174" s="117" t="s">
        <v>113</v>
      </c>
      <c r="D174" s="142"/>
      <c r="E174" s="58"/>
      <c r="F174" s="58"/>
      <c r="G174" s="58"/>
      <c r="H174" s="58"/>
      <c r="I174" s="58"/>
      <c r="J174" s="104">
        <f>E64</f>
        <v>338612320.79</v>
      </c>
      <c r="K174" s="21"/>
      <c r="L174" s="21"/>
      <c r="M174" s="10"/>
      <c r="N174" s="7"/>
      <c r="O174" s="10"/>
      <c r="P174" s="9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</row>
    <row r="175" spans="1:63" ht="15">
      <c r="A175" s="75">
        <v>2</v>
      </c>
      <c r="C175" s="117" t="s">
        <v>114</v>
      </c>
      <c r="D175" s="144"/>
      <c r="E175" s="144"/>
      <c r="F175" s="144"/>
      <c r="G175" s="144"/>
      <c r="H175" s="144"/>
      <c r="I175" s="144"/>
      <c r="J175" s="104">
        <v>0</v>
      </c>
      <c r="K175" s="21"/>
      <c r="L175" s="21"/>
      <c r="M175" s="10"/>
      <c r="N175" s="7"/>
      <c r="O175" s="10"/>
      <c r="P175" s="9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</row>
    <row r="176" spans="1:63" ht="15.75" thickBot="1">
      <c r="A176" s="75">
        <v>3</v>
      </c>
      <c r="C176" s="145" t="s">
        <v>115</v>
      </c>
      <c r="D176" s="146"/>
      <c r="E176" s="147"/>
      <c r="F176" s="58"/>
      <c r="G176" s="58"/>
      <c r="H176" s="148"/>
      <c r="I176" s="58"/>
      <c r="J176" s="105">
        <v>53964</v>
      </c>
      <c r="K176" s="21"/>
      <c r="L176" s="21"/>
      <c r="M176" s="10"/>
      <c r="N176" s="7"/>
      <c r="O176" s="10"/>
      <c r="P176" s="9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</row>
    <row r="177" spans="1:63" ht="15">
      <c r="A177" s="75">
        <v>4</v>
      </c>
      <c r="C177" s="117" t="s">
        <v>116</v>
      </c>
      <c r="D177" s="142"/>
      <c r="E177" s="58"/>
      <c r="F177" s="58"/>
      <c r="G177" s="58"/>
      <c r="H177" s="148"/>
      <c r="I177" s="58"/>
      <c r="J177" s="58">
        <f>J174-J175-J176</f>
        <v>338558356.79</v>
      </c>
      <c r="K177" s="21"/>
      <c r="L177" s="21"/>
      <c r="M177" s="10"/>
      <c r="N177" s="7"/>
      <c r="O177" s="10"/>
      <c r="P177" s="9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</row>
    <row r="178" spans="1:63" ht="15">
      <c r="A178" s="75"/>
      <c r="C178" s="144"/>
      <c r="D178" s="142"/>
      <c r="E178" s="58"/>
      <c r="F178" s="58"/>
      <c r="G178" s="58"/>
      <c r="H178" s="148"/>
      <c r="I178" s="58"/>
      <c r="J178" s="143"/>
      <c r="K178" s="21"/>
      <c r="L178" s="21"/>
      <c r="M178" s="10"/>
      <c r="N178" s="7"/>
      <c r="O178" s="10"/>
      <c r="P178" s="9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</row>
    <row r="179" spans="1:63" ht="15">
      <c r="A179" s="75">
        <v>5</v>
      </c>
      <c r="C179" s="117" t="s">
        <v>117</v>
      </c>
      <c r="D179" s="149"/>
      <c r="E179" s="150"/>
      <c r="F179" s="150"/>
      <c r="G179" s="150"/>
      <c r="H179" s="151"/>
      <c r="I179" s="58" t="s">
        <v>118</v>
      </c>
      <c r="J179" s="152">
        <f>IF(J174&gt;0,J177/J174,0)</f>
        <v>0.9998406319064997</v>
      </c>
      <c r="K179" s="21"/>
      <c r="L179" s="21"/>
      <c r="M179" s="10"/>
      <c r="N179" s="7"/>
      <c r="O179" s="10"/>
      <c r="P179" s="9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</row>
    <row r="180" spans="1:63" ht="15">
      <c r="A180" s="75"/>
      <c r="C180" s="143"/>
      <c r="D180" s="143"/>
      <c r="E180" s="143"/>
      <c r="F180" s="143"/>
      <c r="G180" s="143"/>
      <c r="H180" s="143"/>
      <c r="I180" s="143"/>
      <c r="J180" s="143"/>
      <c r="K180" s="21"/>
      <c r="L180" s="21"/>
      <c r="M180" s="10"/>
      <c r="N180" s="7"/>
      <c r="O180" s="10"/>
      <c r="P180" s="9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</row>
    <row r="181" spans="1:63" ht="15.75">
      <c r="A181" s="75"/>
      <c r="C181" s="153"/>
      <c r="D181" s="142"/>
      <c r="E181" s="142"/>
      <c r="F181" s="142"/>
      <c r="G181" s="142"/>
      <c r="H181" s="142"/>
      <c r="I181" s="142"/>
      <c r="J181" s="142"/>
      <c r="K181" s="21"/>
      <c r="L181" s="21"/>
      <c r="M181" s="10"/>
      <c r="N181" s="7"/>
      <c r="O181" s="10"/>
      <c r="P181" s="9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</row>
    <row r="182" spans="1:63" ht="15">
      <c r="A182" s="75"/>
      <c r="C182" s="154" t="s">
        <v>105</v>
      </c>
      <c r="D182" s="143"/>
      <c r="E182" s="143"/>
      <c r="F182" s="143"/>
      <c r="G182" s="143"/>
      <c r="H182" s="143"/>
      <c r="I182" s="143"/>
      <c r="J182" s="143"/>
      <c r="K182" s="21"/>
      <c r="L182" s="21"/>
      <c r="M182" s="10"/>
      <c r="N182" s="7"/>
      <c r="O182" s="10"/>
      <c r="P182" s="9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</row>
    <row r="183" spans="1:63" ht="15">
      <c r="A183" s="75"/>
      <c r="C183" s="143"/>
      <c r="D183" s="143"/>
      <c r="E183" s="143"/>
      <c r="F183" s="143"/>
      <c r="G183" s="143"/>
      <c r="H183" s="143"/>
      <c r="I183" s="143"/>
      <c r="J183" s="143"/>
      <c r="K183" s="21"/>
      <c r="L183" s="21"/>
      <c r="M183" s="10"/>
      <c r="N183" s="7"/>
      <c r="O183" s="10"/>
      <c r="P183" s="9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</row>
    <row r="184" spans="1:63" ht="15">
      <c r="A184" s="75">
        <v>6</v>
      </c>
      <c r="C184" s="144" t="s">
        <v>106</v>
      </c>
      <c r="D184" s="144"/>
      <c r="E184" s="142"/>
      <c r="F184" s="142"/>
      <c r="G184" s="142"/>
      <c r="H184" s="155"/>
      <c r="I184" s="142"/>
      <c r="J184" s="104">
        <f>E117</f>
        <v>46343322.965</v>
      </c>
      <c r="K184" s="21"/>
      <c r="L184" s="21"/>
      <c r="M184" s="10"/>
      <c r="N184" s="10"/>
      <c r="O184" s="10"/>
      <c r="P184" s="9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</row>
    <row r="185" spans="1:63" ht="15.75" thickBot="1">
      <c r="A185" s="75">
        <v>7</v>
      </c>
      <c r="C185" s="145" t="s">
        <v>107</v>
      </c>
      <c r="D185" s="146"/>
      <c r="E185" s="147"/>
      <c r="F185" s="147"/>
      <c r="G185" s="58"/>
      <c r="H185" s="58"/>
      <c r="I185" s="58"/>
      <c r="J185" s="105">
        <v>370104</v>
      </c>
      <c r="K185" s="21"/>
      <c r="L185" s="21"/>
      <c r="M185" s="10"/>
      <c r="N185" s="10"/>
      <c r="O185" s="10"/>
      <c r="P185" s="9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</row>
    <row r="186" spans="1:63" ht="15">
      <c r="A186" s="75">
        <v>8</v>
      </c>
      <c r="C186" s="117" t="s">
        <v>108</v>
      </c>
      <c r="D186" s="149"/>
      <c r="E186" s="150"/>
      <c r="F186" s="150"/>
      <c r="G186" s="150"/>
      <c r="H186" s="151"/>
      <c r="I186" s="150"/>
      <c r="J186" s="58">
        <f>+J184-J185</f>
        <v>45973218.965</v>
      </c>
      <c r="K186" s="28"/>
      <c r="L186" s="28"/>
      <c r="M186" s="10"/>
      <c r="N186" s="10"/>
      <c r="O186" s="10"/>
      <c r="P186" s="9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</row>
    <row r="187" spans="1:63" ht="15">
      <c r="A187" s="75"/>
      <c r="C187" s="117"/>
      <c r="D187" s="142"/>
      <c r="E187" s="58"/>
      <c r="F187" s="58"/>
      <c r="G187" s="58"/>
      <c r="H187" s="58"/>
      <c r="I187" s="144"/>
      <c r="J187" s="143"/>
      <c r="K187" s="28"/>
      <c r="L187" s="28"/>
      <c r="M187" s="10"/>
      <c r="N187" s="10"/>
      <c r="O187" s="10"/>
      <c r="P187" s="9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</row>
    <row r="188" spans="1:63" ht="15">
      <c r="A188" s="75">
        <v>9</v>
      </c>
      <c r="C188" s="117" t="s">
        <v>109</v>
      </c>
      <c r="D188" s="142"/>
      <c r="E188" s="58"/>
      <c r="F188" s="58"/>
      <c r="G188" s="58"/>
      <c r="H188" s="58"/>
      <c r="I188" s="58"/>
      <c r="J188" s="156">
        <f>IF(J184&gt;0,J186/J184,0)</f>
        <v>0.9920138657238818</v>
      </c>
      <c r="K188" s="28"/>
      <c r="L188" s="28"/>
      <c r="M188" s="10"/>
      <c r="N188" s="10"/>
      <c r="O188" s="10"/>
      <c r="P188" s="9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</row>
    <row r="189" spans="1:63" ht="15">
      <c r="A189" s="75">
        <v>10</v>
      </c>
      <c r="C189" s="117" t="s">
        <v>110</v>
      </c>
      <c r="D189" s="142"/>
      <c r="E189" s="58"/>
      <c r="F189" s="58"/>
      <c r="G189" s="58"/>
      <c r="H189" s="58"/>
      <c r="I189" s="142" t="s">
        <v>11</v>
      </c>
      <c r="J189" s="157">
        <f>J179</f>
        <v>0.9998406319064997</v>
      </c>
      <c r="K189" s="28"/>
      <c r="L189" s="28"/>
      <c r="M189" s="10"/>
      <c r="N189" s="10"/>
      <c r="O189" s="10"/>
      <c r="P189" s="9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</row>
    <row r="190" spans="1:63" ht="15">
      <c r="A190" s="75">
        <v>11</v>
      </c>
      <c r="C190" s="117" t="s">
        <v>111</v>
      </c>
      <c r="D190" s="142"/>
      <c r="E190" s="142"/>
      <c r="F190" s="142"/>
      <c r="G190" s="142"/>
      <c r="H190" s="142"/>
      <c r="I190" s="142" t="s">
        <v>112</v>
      </c>
      <c r="J190" s="158">
        <f>+J189*J188</f>
        <v>0.9918557703653756</v>
      </c>
      <c r="K190" s="28"/>
      <c r="L190" s="28"/>
      <c r="M190" s="10"/>
      <c r="N190" s="10"/>
      <c r="O190" s="10"/>
      <c r="P190" s="9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</row>
    <row r="191" spans="1:63" ht="15">
      <c r="A191" s="75"/>
      <c r="K191" s="28"/>
      <c r="L191" s="28"/>
      <c r="M191" s="10"/>
      <c r="N191" s="10"/>
      <c r="O191" s="10"/>
      <c r="P191" s="9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</row>
    <row r="192" spans="1:63" ht="15">
      <c r="A192" s="75"/>
      <c r="C192" s="28"/>
      <c r="D192" s="16"/>
      <c r="E192" s="21"/>
      <c r="F192" s="21"/>
      <c r="G192" s="21"/>
      <c r="H192" s="22"/>
      <c r="I192" s="21"/>
      <c r="K192" s="28"/>
      <c r="L192" s="28"/>
      <c r="M192" s="10"/>
      <c r="N192" s="10"/>
      <c r="O192" s="10"/>
      <c r="P192" s="9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</row>
    <row r="193" spans="1:63" ht="15.75">
      <c r="A193" s="75" t="s">
        <v>2</v>
      </c>
      <c r="C193" s="18" t="s">
        <v>119</v>
      </c>
      <c r="D193" s="21"/>
      <c r="E193" s="260"/>
      <c r="F193" s="21"/>
      <c r="G193" s="21"/>
      <c r="H193" s="21"/>
      <c r="I193" s="21"/>
      <c r="J193" s="21"/>
      <c r="K193" s="21"/>
      <c r="L193" s="21"/>
      <c r="M193" s="10"/>
      <c r="N193" s="10"/>
      <c r="O193" s="10"/>
      <c r="P193" s="9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</row>
    <row r="194" spans="1:63" ht="15.75" thickBot="1">
      <c r="A194" s="75" t="s">
        <v>2</v>
      </c>
      <c r="C194" s="18"/>
      <c r="D194" s="68" t="s">
        <v>120</v>
      </c>
      <c r="E194" s="69" t="s">
        <v>121</v>
      </c>
      <c r="F194" s="69" t="s">
        <v>11</v>
      </c>
      <c r="G194" s="21"/>
      <c r="H194" s="69" t="s">
        <v>122</v>
      </c>
      <c r="I194" s="21"/>
      <c r="J194" s="21"/>
      <c r="K194" s="21"/>
      <c r="L194" s="21"/>
      <c r="M194" s="10"/>
      <c r="N194" s="10"/>
      <c r="O194" s="10"/>
      <c r="P194" s="9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</row>
    <row r="195" spans="1:63" ht="15">
      <c r="A195" s="75">
        <v>12</v>
      </c>
      <c r="C195" s="18" t="s">
        <v>45</v>
      </c>
      <c r="D195" s="21" t="s">
        <v>123</v>
      </c>
      <c r="E195" s="104">
        <f>22946375+435805+1317729</f>
        <v>24699909</v>
      </c>
      <c r="F195" s="39">
        <v>0</v>
      </c>
      <c r="G195" s="39"/>
      <c r="H195" s="21">
        <f>E195*F195</f>
        <v>0</v>
      </c>
      <c r="I195" s="21"/>
      <c r="J195" s="21"/>
      <c r="K195" s="21"/>
      <c r="L195" s="21"/>
      <c r="M195" s="10"/>
      <c r="N195" s="10"/>
      <c r="O195" s="10"/>
      <c r="P195" s="9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</row>
    <row r="196" spans="1:63" ht="15">
      <c r="A196" s="75">
        <v>13</v>
      </c>
      <c r="C196" s="18" t="s">
        <v>47</v>
      </c>
      <c r="D196" s="21" t="s">
        <v>124</v>
      </c>
      <c r="E196" s="104">
        <v>2368552</v>
      </c>
      <c r="F196" s="39">
        <f>+J179</f>
        <v>0.9998406319064997</v>
      </c>
      <c r="G196" s="39"/>
      <c r="H196" s="21">
        <f>E196*F196</f>
        <v>2368174.5283834036</v>
      </c>
      <c r="I196" s="21"/>
      <c r="J196" s="21"/>
      <c r="K196" s="21"/>
      <c r="L196" s="21"/>
      <c r="M196" s="7"/>
      <c r="N196" s="10"/>
      <c r="O196" s="10"/>
      <c r="P196" s="9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</row>
    <row r="197" spans="1:63" ht="15">
      <c r="A197" s="75">
        <v>14</v>
      </c>
      <c r="C197" s="18" t="s">
        <v>48</v>
      </c>
      <c r="D197" s="21" t="s">
        <v>125</v>
      </c>
      <c r="E197" s="104">
        <v>10416443</v>
      </c>
      <c r="F197" s="39">
        <v>0</v>
      </c>
      <c r="G197" s="39"/>
      <c r="H197" s="21">
        <f>E197*F197</f>
        <v>0</v>
      </c>
      <c r="I197" s="21"/>
      <c r="J197" s="71" t="s">
        <v>126</v>
      </c>
      <c r="K197" s="21"/>
      <c r="L197" s="21"/>
      <c r="M197" s="10"/>
      <c r="N197" s="10"/>
      <c r="O197" s="10"/>
      <c r="P197" s="9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</row>
    <row r="198" spans="1:63" ht="15.75" thickBot="1">
      <c r="A198" s="75">
        <v>15</v>
      </c>
      <c r="C198" s="18" t="s">
        <v>127</v>
      </c>
      <c r="D198" s="21" t="s">
        <v>128</v>
      </c>
      <c r="E198" s="105">
        <f>5400567+534935</f>
        <v>5935502</v>
      </c>
      <c r="F198" s="39">
        <v>0</v>
      </c>
      <c r="G198" s="39"/>
      <c r="H198" s="68">
        <f>E198*F198</f>
        <v>0</v>
      </c>
      <c r="I198" s="21"/>
      <c r="J198" s="76" t="s">
        <v>129</v>
      </c>
      <c r="K198" s="21"/>
      <c r="L198" s="21"/>
      <c r="M198" s="10"/>
      <c r="N198" s="10"/>
      <c r="O198" s="10"/>
      <c r="P198" s="9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</row>
    <row r="199" spans="1:63" ht="15">
      <c r="A199" s="75">
        <v>16</v>
      </c>
      <c r="C199" s="18" t="s">
        <v>252</v>
      </c>
      <c r="D199" s="21"/>
      <c r="E199" s="21">
        <f>SUM(E195:E198)</f>
        <v>43420406</v>
      </c>
      <c r="F199" s="21"/>
      <c r="G199" s="21"/>
      <c r="H199" s="21">
        <f>SUM(H195:H198)</f>
        <v>2368174.5283834036</v>
      </c>
      <c r="I199" s="20" t="s">
        <v>130</v>
      </c>
      <c r="J199" s="30">
        <f>IF(H199&gt;0,H199/E199,0)</f>
        <v>0.05454058924238073</v>
      </c>
      <c r="K199" s="22" t="s">
        <v>130</v>
      </c>
      <c r="L199" s="21" t="s">
        <v>244</v>
      </c>
      <c r="M199" s="10"/>
      <c r="N199" s="10"/>
      <c r="O199" s="10"/>
      <c r="P199" s="9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</row>
    <row r="200" spans="1:63" ht="15">
      <c r="A200" s="75" t="s">
        <v>2</v>
      </c>
      <c r="C200" s="18" t="s">
        <v>2</v>
      </c>
      <c r="D200" s="21" t="s">
        <v>2</v>
      </c>
      <c r="F200" s="21"/>
      <c r="G200" s="21"/>
      <c r="K200" s="28"/>
      <c r="L200" s="21"/>
      <c r="M200" s="10"/>
      <c r="N200" s="10"/>
      <c r="O200" s="10"/>
      <c r="P200" s="9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</row>
    <row r="201" spans="1:63" ht="15">
      <c r="A201" s="75"/>
      <c r="C201" s="18"/>
      <c r="D201" s="21"/>
      <c r="E201" s="21"/>
      <c r="F201" s="21"/>
      <c r="G201" s="21"/>
      <c r="H201" s="21"/>
      <c r="I201" s="21"/>
      <c r="J201" s="21"/>
      <c r="K201" s="21"/>
      <c r="L201" s="21"/>
      <c r="M201" s="10" t="s">
        <v>2</v>
      </c>
      <c r="N201" s="10"/>
      <c r="O201" s="10"/>
      <c r="P201" s="9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</row>
    <row r="202" spans="1:63" ht="15.75">
      <c r="A202" s="75"/>
      <c r="C202" s="18" t="s">
        <v>131</v>
      </c>
      <c r="D202" s="21"/>
      <c r="E202" s="260"/>
      <c r="F202" s="21"/>
      <c r="G202" s="21"/>
      <c r="H202" s="21"/>
      <c r="I202" s="21"/>
      <c r="J202" s="21"/>
      <c r="K202" s="21"/>
      <c r="L202" s="21"/>
      <c r="M202" s="10"/>
      <c r="N202" s="10"/>
      <c r="O202" s="10"/>
      <c r="P202" s="9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</row>
    <row r="203" spans="1:63" ht="15.75">
      <c r="A203" s="75"/>
      <c r="C203" s="18"/>
      <c r="D203" s="21"/>
      <c r="E203" s="46" t="s">
        <v>121</v>
      </c>
      <c r="F203" s="21"/>
      <c r="G203" s="21"/>
      <c r="H203" s="22" t="s">
        <v>132</v>
      </c>
      <c r="I203" s="32" t="s">
        <v>2</v>
      </c>
      <c r="J203" s="34" t="str">
        <f>+J197</f>
        <v>W&amp;S Allocator</v>
      </c>
      <c r="K203" s="28"/>
      <c r="L203" s="28"/>
      <c r="M203" s="10"/>
      <c r="N203" s="10"/>
      <c r="O203" s="10"/>
      <c r="P203" s="9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</row>
    <row r="204" spans="1:63" ht="15">
      <c r="A204" s="75">
        <v>17</v>
      </c>
      <c r="C204" s="18" t="s">
        <v>133</v>
      </c>
      <c r="D204" s="21" t="s">
        <v>134</v>
      </c>
      <c r="E204" s="104">
        <f>2568582947</f>
        <v>2568582947</v>
      </c>
      <c r="F204" s="21"/>
      <c r="G204" s="28"/>
      <c r="H204" s="75" t="s">
        <v>135</v>
      </c>
      <c r="I204" s="54"/>
      <c r="J204" s="75" t="s">
        <v>136</v>
      </c>
      <c r="K204" s="21"/>
      <c r="L204" s="20" t="s">
        <v>137</v>
      </c>
      <c r="M204" s="10"/>
      <c r="N204" s="10"/>
      <c r="O204" s="10"/>
      <c r="P204" s="9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</row>
    <row r="205" spans="1:63" ht="15">
      <c r="A205" s="75">
        <v>18</v>
      </c>
      <c r="C205" s="18" t="s">
        <v>138</v>
      </c>
      <c r="D205" s="21" t="s">
        <v>139</v>
      </c>
      <c r="E205" s="104">
        <v>0</v>
      </c>
      <c r="F205" s="21"/>
      <c r="G205" s="28"/>
      <c r="H205" s="36">
        <f>IF(E207&gt;0,E204/E207,0)</f>
        <v>1</v>
      </c>
      <c r="I205" s="22" t="s">
        <v>140</v>
      </c>
      <c r="J205" s="36">
        <f>J199</f>
        <v>0.05454058924238073</v>
      </c>
      <c r="K205" s="32" t="s">
        <v>130</v>
      </c>
      <c r="L205" s="36">
        <f>J205*H205</f>
        <v>0.05454058924238073</v>
      </c>
      <c r="M205" s="10"/>
      <c r="N205" s="10"/>
      <c r="O205" s="10"/>
      <c r="P205" s="9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</row>
    <row r="206" spans="1:63" ht="15.75" thickBot="1">
      <c r="A206" s="75">
        <v>19</v>
      </c>
      <c r="C206" s="88" t="s">
        <v>141</v>
      </c>
      <c r="D206" s="68" t="s">
        <v>142</v>
      </c>
      <c r="E206" s="105">
        <v>0</v>
      </c>
      <c r="F206" s="21"/>
      <c r="G206" s="21"/>
      <c r="H206" s="21" t="s">
        <v>2</v>
      </c>
      <c r="I206" s="21"/>
      <c r="J206" s="21"/>
      <c r="K206" s="21"/>
      <c r="L206" s="21"/>
      <c r="M206" s="10"/>
      <c r="N206" s="10"/>
      <c r="O206" s="10"/>
      <c r="P206" s="9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</row>
    <row r="207" spans="1:63" ht="15">
      <c r="A207" s="75">
        <v>20</v>
      </c>
      <c r="C207" s="18" t="s">
        <v>210</v>
      </c>
      <c r="D207" s="21"/>
      <c r="E207" s="21">
        <f>E204+E205+E206</f>
        <v>2568582947</v>
      </c>
      <c r="F207" s="21"/>
      <c r="G207" s="21"/>
      <c r="H207" s="21"/>
      <c r="I207" s="21"/>
      <c r="J207" s="21"/>
      <c r="K207" s="21"/>
      <c r="L207" s="21"/>
      <c r="M207" s="10"/>
      <c r="N207" s="10"/>
      <c r="O207" s="10"/>
      <c r="P207" s="9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</row>
    <row r="208" spans="1:63" ht="15">
      <c r="A208" s="75"/>
      <c r="C208" s="18" t="s">
        <v>2</v>
      </c>
      <c r="D208" s="21"/>
      <c r="F208" s="21"/>
      <c r="G208" s="21"/>
      <c r="H208" s="21"/>
      <c r="I208" s="21"/>
      <c r="J208" s="21" t="s">
        <v>2</v>
      </c>
      <c r="K208" s="21" t="s">
        <v>2</v>
      </c>
      <c r="L208" s="21"/>
      <c r="M208" s="10"/>
      <c r="N208" s="10"/>
      <c r="O208" s="10"/>
      <c r="P208" s="9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</row>
    <row r="209" spans="1:63" ht="15">
      <c r="A209" s="75"/>
      <c r="C209" s="18"/>
      <c r="D209" s="21"/>
      <c r="F209" s="21"/>
      <c r="G209" s="21"/>
      <c r="H209" s="21"/>
      <c r="I209" s="21"/>
      <c r="J209" s="21"/>
      <c r="K209" s="21"/>
      <c r="L209" s="21"/>
      <c r="M209" s="10"/>
      <c r="N209" s="10"/>
      <c r="O209" s="10"/>
      <c r="P209" s="9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</row>
    <row r="210" spans="1:63" ht="16.5" thickBot="1">
      <c r="A210" s="75"/>
      <c r="B210" s="3"/>
      <c r="C210" s="49" t="s">
        <v>143</v>
      </c>
      <c r="D210" s="21"/>
      <c r="E210" s="260"/>
      <c r="F210" s="21"/>
      <c r="G210" s="21"/>
      <c r="H210" s="21"/>
      <c r="I210" s="21"/>
      <c r="J210" s="69" t="s">
        <v>121</v>
      </c>
      <c r="K210" s="21"/>
      <c r="L210" s="21"/>
      <c r="M210" s="10"/>
      <c r="N210" s="10"/>
      <c r="O210" s="10"/>
      <c r="P210" s="9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</row>
    <row r="211" spans="1:63" ht="15">
      <c r="A211" s="75">
        <v>21</v>
      </c>
      <c r="B211" s="3"/>
      <c r="C211" s="3"/>
      <c r="D211" s="21" t="s">
        <v>481</v>
      </c>
      <c r="E211" s="21"/>
      <c r="F211" s="21"/>
      <c r="G211" s="21"/>
      <c r="H211" s="21"/>
      <c r="I211" s="21"/>
      <c r="J211" s="243">
        <f>99064233+6762903+1025489</f>
        <v>106852625</v>
      </c>
      <c r="K211" s="21"/>
      <c r="L211" s="21"/>
      <c r="M211" s="10"/>
      <c r="N211" s="10"/>
      <c r="O211" s="10"/>
      <c r="P211" s="9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</row>
    <row r="212" spans="1:63" ht="15">
      <c r="A212" s="75"/>
      <c r="C212" s="18"/>
      <c r="D212" s="21"/>
      <c r="E212" s="21"/>
      <c r="F212" s="21"/>
      <c r="G212" s="21"/>
      <c r="H212" s="21"/>
      <c r="I212" s="21"/>
      <c r="J212" s="21"/>
      <c r="K212" s="21"/>
      <c r="L212" s="21"/>
      <c r="M212" s="10"/>
      <c r="N212" s="10"/>
      <c r="O212" s="10"/>
      <c r="P212" s="9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</row>
    <row r="213" spans="1:63" ht="15">
      <c r="A213" s="75">
        <v>22</v>
      </c>
      <c r="B213" s="3"/>
      <c r="C213" s="274" t="s">
        <v>33</v>
      </c>
      <c r="D213" s="21" t="s">
        <v>144</v>
      </c>
      <c r="E213" s="21"/>
      <c r="F213" s="21"/>
      <c r="G213" s="21"/>
      <c r="H213" s="21"/>
      <c r="I213" s="58"/>
      <c r="J213" s="106">
        <v>242452</v>
      </c>
      <c r="K213" s="21"/>
      <c r="L213" s="21"/>
      <c r="M213" s="10"/>
      <c r="N213" s="10"/>
      <c r="O213" s="10"/>
      <c r="P213" s="9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</row>
    <row r="214" spans="1:63" ht="15">
      <c r="A214" s="75"/>
      <c r="B214" s="3"/>
      <c r="C214" s="49"/>
      <c r="D214" s="21"/>
      <c r="E214" s="21"/>
      <c r="F214" s="21"/>
      <c r="G214" s="21"/>
      <c r="H214" s="21"/>
      <c r="I214" s="21"/>
      <c r="J214" s="21"/>
      <c r="K214" s="21"/>
      <c r="L214" s="21"/>
      <c r="M214" s="10"/>
      <c r="N214" s="10"/>
      <c r="O214" s="10"/>
      <c r="P214" s="9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</row>
    <row r="215" spans="1:63" ht="15">
      <c r="A215" s="75"/>
      <c r="B215" s="3"/>
      <c r="C215" s="49" t="s">
        <v>145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10"/>
      <c r="N215" s="10"/>
      <c r="O215" s="10"/>
      <c r="P215" s="9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</row>
    <row r="216" spans="1:63" ht="15.75">
      <c r="A216" s="75">
        <v>23</v>
      </c>
      <c r="B216" s="3"/>
      <c r="C216" s="49"/>
      <c r="D216" s="21" t="s">
        <v>497</v>
      </c>
      <c r="E216" s="261"/>
      <c r="F216" s="21"/>
      <c r="G216" s="21"/>
      <c r="H216" s="21"/>
      <c r="I216" s="21"/>
      <c r="J216" s="104">
        <v>1409208623</v>
      </c>
      <c r="K216" s="21"/>
      <c r="L216" s="21"/>
      <c r="M216" s="10"/>
      <c r="N216" s="10"/>
      <c r="O216" s="10"/>
      <c r="P216" s="9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</row>
    <row r="217" spans="1:63" ht="15">
      <c r="A217" s="75">
        <v>24</v>
      </c>
      <c r="B217" s="3"/>
      <c r="C217" s="49"/>
      <c r="D217" s="21" t="s">
        <v>254</v>
      </c>
      <c r="E217" s="21"/>
      <c r="F217" s="21"/>
      <c r="G217" s="21"/>
      <c r="H217" s="21"/>
      <c r="I217" s="21"/>
      <c r="J217" s="123">
        <f>-E223</f>
        <v>-21436300</v>
      </c>
      <c r="K217" s="21"/>
      <c r="L217" s="21"/>
      <c r="M217" s="10"/>
      <c r="N217" s="10"/>
      <c r="O217" s="10"/>
      <c r="P217" s="9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</row>
    <row r="218" spans="1:63" ht="15.75" thickBot="1">
      <c r="A218" s="75">
        <v>25</v>
      </c>
      <c r="B218" s="3"/>
      <c r="C218" s="274" t="s">
        <v>32</v>
      </c>
      <c r="D218" s="21" t="s">
        <v>500</v>
      </c>
      <c r="E218" s="21"/>
      <c r="F218" s="58"/>
      <c r="G218" s="58"/>
      <c r="H218" s="21"/>
      <c r="I218" s="21"/>
      <c r="J218" s="105">
        <f>+H363</f>
        <v>0</v>
      </c>
      <c r="K218" s="21"/>
      <c r="L218" s="21"/>
      <c r="M218" s="10"/>
      <c r="N218" s="10"/>
      <c r="O218" s="10"/>
      <c r="P218" s="9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</row>
    <row r="219" spans="1:63" ht="15">
      <c r="A219" s="75">
        <v>26</v>
      </c>
      <c r="B219" s="3"/>
      <c r="C219" s="3"/>
      <c r="D219" s="21" t="s">
        <v>146</v>
      </c>
      <c r="E219" s="3" t="s">
        <v>147</v>
      </c>
      <c r="F219" s="3"/>
      <c r="G219" s="3"/>
      <c r="H219" s="3"/>
      <c r="I219" s="3"/>
      <c r="J219" s="21">
        <f>+J216+J217+J218</f>
        <v>1387772323</v>
      </c>
      <c r="K219" s="21"/>
      <c r="L219" s="21"/>
      <c r="M219" s="10"/>
      <c r="N219" s="10"/>
      <c r="O219" s="10"/>
      <c r="P219" s="9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</row>
    <row r="220" spans="1:63" ht="15">
      <c r="A220" s="75"/>
      <c r="C220" s="18"/>
      <c r="D220" s="21"/>
      <c r="E220" s="21"/>
      <c r="F220" s="21"/>
      <c r="G220" s="21"/>
      <c r="H220" s="22" t="s">
        <v>148</v>
      </c>
      <c r="I220" s="21"/>
      <c r="J220" s="21"/>
      <c r="K220" s="21"/>
      <c r="L220" s="21"/>
      <c r="M220" s="10"/>
      <c r="N220" s="10"/>
      <c r="O220" s="10"/>
      <c r="P220" s="9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</row>
    <row r="221" spans="1:63" ht="16.5" thickBot="1">
      <c r="A221" s="75"/>
      <c r="C221" s="18"/>
      <c r="D221" s="260"/>
      <c r="E221" s="61" t="s">
        <v>121</v>
      </c>
      <c r="F221" s="61" t="s">
        <v>149</v>
      </c>
      <c r="G221" s="21"/>
      <c r="H221" s="61" t="s">
        <v>150</v>
      </c>
      <c r="I221" s="21"/>
      <c r="J221" s="61" t="s">
        <v>151</v>
      </c>
      <c r="K221" s="21"/>
      <c r="L221" s="21"/>
      <c r="M221" s="10"/>
      <c r="N221" s="10"/>
      <c r="O221" s="10"/>
      <c r="P221" s="9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</row>
    <row r="222" spans="1:63" ht="15">
      <c r="A222" s="75">
        <v>27</v>
      </c>
      <c r="C222" s="49" t="s">
        <v>498</v>
      </c>
      <c r="E222" s="104">
        <f>748840000+405078000</f>
        <v>1153918000</v>
      </c>
      <c r="F222" s="89">
        <f>IF($E$225&gt;0,E222/$E$225,0)</f>
        <v>0.4501993735484679</v>
      </c>
      <c r="G222" s="40"/>
      <c r="H222" s="40">
        <f>IF(E222&gt;0,J211/E222,0)</f>
        <v>0.09259984244981012</v>
      </c>
      <c r="J222" s="40">
        <f>H222*F222</f>
        <v>0.04168839106159134</v>
      </c>
      <c r="K222" s="41" t="s">
        <v>152</v>
      </c>
      <c r="M222" s="10"/>
      <c r="N222" s="10"/>
      <c r="O222" s="10"/>
      <c r="P222" s="9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</row>
    <row r="223" spans="1:63" ht="15">
      <c r="A223" s="75">
        <v>28</v>
      </c>
      <c r="C223" s="49" t="s">
        <v>484</v>
      </c>
      <c r="E223" s="104">
        <v>21436300</v>
      </c>
      <c r="F223" s="89">
        <f>IF($E$225&gt;0,E223/$E$225,0)</f>
        <v>0.008363340229719116</v>
      </c>
      <c r="G223" s="40"/>
      <c r="H223" s="40">
        <f>IF(E223&gt;0,J213/E223,0)</f>
        <v>0.011310347401370572</v>
      </c>
      <c r="J223" s="40">
        <f>H223*F223</f>
        <v>9.459228343398156E-05</v>
      </c>
      <c r="K223" s="21"/>
      <c r="M223" s="10"/>
      <c r="N223" s="10"/>
      <c r="O223" s="10"/>
      <c r="P223" s="9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</row>
    <row r="224" spans="1:63" ht="15.75" thickBot="1">
      <c r="A224" s="75">
        <v>29</v>
      </c>
      <c r="C224" s="49" t="s">
        <v>153</v>
      </c>
      <c r="E224" s="68">
        <f>J219</f>
        <v>1387772323</v>
      </c>
      <c r="F224" s="89">
        <f>IF($E$225&gt;0,E224/$E$225,0)</f>
        <v>0.541437286221813</v>
      </c>
      <c r="G224" s="40"/>
      <c r="H224" s="239">
        <f>0.115+0.005</f>
        <v>0.12000000000000001</v>
      </c>
      <c r="J224" s="122">
        <f>H224*F224</f>
        <v>0.06497247434661756</v>
      </c>
      <c r="K224" s="21"/>
      <c r="M224" s="10"/>
      <c r="N224" s="10"/>
      <c r="O224" s="10"/>
      <c r="P224" s="9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</row>
    <row r="225" spans="1:63" ht="15">
      <c r="A225" s="75">
        <v>30</v>
      </c>
      <c r="C225" s="18" t="s">
        <v>248</v>
      </c>
      <c r="E225" s="21">
        <f>E224+E223+E222</f>
        <v>2563126623</v>
      </c>
      <c r="F225" s="21" t="s">
        <v>2</v>
      </c>
      <c r="G225" s="21"/>
      <c r="H225" s="21"/>
      <c r="I225" s="21"/>
      <c r="J225" s="40">
        <f>SUM(J222:J224)</f>
        <v>0.10675545769164288</v>
      </c>
      <c r="K225" s="41" t="s">
        <v>154</v>
      </c>
      <c r="M225" s="10"/>
      <c r="N225" s="10"/>
      <c r="O225" s="10"/>
      <c r="P225" s="9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</row>
    <row r="226" spans="6:63" ht="15">
      <c r="F226" s="21"/>
      <c r="G226" s="21"/>
      <c r="H226" s="21"/>
      <c r="I226" s="21"/>
      <c r="M226" s="10"/>
      <c r="N226" s="10"/>
      <c r="O226" s="10"/>
      <c r="P226" s="9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</row>
    <row r="227" spans="1:63" ht="15">
      <c r="A227" s="75"/>
      <c r="C227" s="28"/>
      <c r="E227" s="28"/>
      <c r="F227" s="28"/>
      <c r="G227" s="28"/>
      <c r="H227" s="28"/>
      <c r="I227" s="28"/>
      <c r="J227" s="28"/>
      <c r="K227" s="28"/>
      <c r="L227" s="21"/>
      <c r="M227" s="10"/>
      <c r="N227" s="10"/>
      <c r="O227" s="10"/>
      <c r="P227" s="9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</row>
    <row r="228" spans="1:63" ht="15">
      <c r="A228" s="75"/>
      <c r="C228" s="49" t="s">
        <v>155</v>
      </c>
      <c r="D228" s="51"/>
      <c r="E228" s="51"/>
      <c r="F228" s="51"/>
      <c r="G228" s="51"/>
      <c r="H228" s="51"/>
      <c r="I228" s="51"/>
      <c r="J228" s="51"/>
      <c r="K228" s="51"/>
      <c r="L228" s="51"/>
      <c r="M228" s="21"/>
      <c r="N228" s="22"/>
      <c r="O228" s="10"/>
      <c r="P228" s="9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</row>
    <row r="229" spans="1:63" ht="15.75" thickBot="1">
      <c r="A229" s="75"/>
      <c r="C229" s="49"/>
      <c r="D229" s="49"/>
      <c r="E229" s="49"/>
      <c r="F229" s="49"/>
      <c r="G229" s="49"/>
      <c r="H229" s="49"/>
      <c r="I229" s="49"/>
      <c r="J229" s="61" t="s">
        <v>211</v>
      </c>
      <c r="K229" s="111"/>
      <c r="O229" s="10"/>
      <c r="P229" s="9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</row>
    <row r="230" spans="1:63" ht="15">
      <c r="A230" s="75"/>
      <c r="C230" s="49" t="s">
        <v>156</v>
      </c>
      <c r="D230" s="51"/>
      <c r="E230" s="51" t="s">
        <v>157</v>
      </c>
      <c r="F230" s="51" t="s">
        <v>158</v>
      </c>
      <c r="G230" s="51"/>
      <c r="H230" s="55" t="s">
        <v>2</v>
      </c>
      <c r="I230" s="48"/>
      <c r="J230" s="64"/>
      <c r="K230" s="64"/>
      <c r="O230" s="10"/>
      <c r="P230" s="9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</row>
    <row r="231" spans="1:63" ht="15">
      <c r="A231" s="75">
        <v>31</v>
      </c>
      <c r="C231" t="s">
        <v>200</v>
      </c>
      <c r="D231" s="51"/>
      <c r="E231" s="51"/>
      <c r="G231" s="51"/>
      <c r="H231" s="28"/>
      <c r="I231" s="48"/>
      <c r="J231" s="112">
        <v>0</v>
      </c>
      <c r="K231" s="113"/>
      <c r="O231" s="10"/>
      <c r="P231" s="9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</row>
    <row r="232" spans="1:63" ht="15.75" thickBot="1">
      <c r="A232" s="75">
        <v>32</v>
      </c>
      <c r="C232" s="90" t="s">
        <v>250</v>
      </c>
      <c r="D232" s="87"/>
      <c r="E232" s="90"/>
      <c r="F232" s="86"/>
      <c r="G232" s="86"/>
      <c r="H232" s="86"/>
      <c r="I232" s="51"/>
      <c r="J232" s="114">
        <v>0</v>
      </c>
      <c r="K232" s="115"/>
      <c r="O232" s="10"/>
      <c r="P232" s="9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</row>
    <row r="233" spans="1:63" ht="15">
      <c r="A233" s="75">
        <v>33</v>
      </c>
      <c r="C233" s="28" t="s">
        <v>159</v>
      </c>
      <c r="D233" s="16"/>
      <c r="E233" s="28"/>
      <c r="F233" s="51"/>
      <c r="G233" s="51"/>
      <c r="H233" s="51"/>
      <c r="I233" s="51"/>
      <c r="J233" s="116">
        <f>+J231-J232</f>
        <v>0</v>
      </c>
      <c r="K233" s="113"/>
      <c r="O233" s="10"/>
      <c r="P233" s="9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</row>
    <row r="234" spans="1:63" ht="15">
      <c r="A234" s="75"/>
      <c r="C234" s="28"/>
      <c r="D234" s="16"/>
      <c r="E234" s="28"/>
      <c r="F234" s="51"/>
      <c r="G234" s="51"/>
      <c r="H234" s="51"/>
      <c r="I234" s="51"/>
      <c r="J234" s="63"/>
      <c r="K234" s="64"/>
      <c r="O234" s="10"/>
      <c r="P234" s="9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</row>
    <row r="235" spans="1:63" ht="15">
      <c r="A235" s="75"/>
      <c r="C235" s="28" t="s">
        <v>2</v>
      </c>
      <c r="D235" s="16"/>
      <c r="E235" s="28"/>
      <c r="F235" s="51"/>
      <c r="G235" s="51"/>
      <c r="H235" s="70"/>
      <c r="I235" s="51"/>
      <c r="J235" s="63" t="s">
        <v>2</v>
      </c>
      <c r="K235" s="64"/>
      <c r="L235" s="65"/>
      <c r="M235" s="21"/>
      <c r="N235" s="22"/>
      <c r="O235" s="10"/>
      <c r="P235" s="9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</row>
    <row r="236" spans="1:63" ht="15">
      <c r="A236" s="75">
        <v>34</v>
      </c>
      <c r="C236" s="49" t="s">
        <v>501</v>
      </c>
      <c r="D236" s="16"/>
      <c r="E236" s="28"/>
      <c r="F236" s="51"/>
      <c r="G236" s="51"/>
      <c r="H236" s="102"/>
      <c r="I236" s="51"/>
      <c r="J236" s="107">
        <f>H327</f>
        <v>4011765.5068000006</v>
      </c>
      <c r="K236" s="64"/>
      <c r="L236" s="65"/>
      <c r="M236" s="21"/>
      <c r="N236" s="22"/>
      <c r="O236" s="10"/>
      <c r="P236" s="9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</row>
    <row r="237" spans="1:63" ht="15">
      <c r="A237" s="75"/>
      <c r="D237" s="51"/>
      <c r="E237" s="51"/>
      <c r="F237" s="51"/>
      <c r="G237" s="51"/>
      <c r="H237" s="51"/>
      <c r="I237" s="51"/>
      <c r="J237" s="63"/>
      <c r="K237" s="64"/>
      <c r="L237" s="65"/>
      <c r="M237" s="21"/>
      <c r="N237" s="22"/>
      <c r="O237" s="10"/>
      <c r="P237" s="9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</row>
    <row r="238" spans="3:63" ht="15">
      <c r="C238" s="49" t="s">
        <v>160</v>
      </c>
      <c r="D238" s="51"/>
      <c r="E238" s="51" t="s">
        <v>502</v>
      </c>
      <c r="F238" s="51"/>
      <c r="G238" s="51"/>
      <c r="H238" s="51"/>
      <c r="I238" s="51"/>
      <c r="L238" s="66"/>
      <c r="M238" s="21"/>
      <c r="N238" s="22"/>
      <c r="O238" s="7"/>
      <c r="P238" s="9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</row>
    <row r="239" spans="1:63" ht="15">
      <c r="A239" s="75">
        <v>35</v>
      </c>
      <c r="C239" s="49" t="s">
        <v>161</v>
      </c>
      <c r="D239" s="21"/>
      <c r="E239" s="21"/>
      <c r="F239" s="21"/>
      <c r="G239" s="21"/>
      <c r="H239" s="21"/>
      <c r="I239" s="21"/>
      <c r="J239" s="245" t="s">
        <v>326</v>
      </c>
      <c r="K239" s="62"/>
      <c r="L239" s="66"/>
      <c r="M239" s="21"/>
      <c r="N239" s="22"/>
      <c r="O239" s="7"/>
      <c r="P239" s="9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</row>
    <row r="240" spans="1:63" ht="15.75" thickBot="1">
      <c r="A240" s="75">
        <v>36</v>
      </c>
      <c r="C240" s="91" t="s">
        <v>249</v>
      </c>
      <c r="D240" s="86"/>
      <c r="E240" s="86"/>
      <c r="F240" s="86"/>
      <c r="G240" s="86"/>
      <c r="H240" s="51"/>
      <c r="I240" s="51"/>
      <c r="J240" s="246" t="s">
        <v>326</v>
      </c>
      <c r="L240" s="119"/>
      <c r="M240" s="51"/>
      <c r="N240" s="52"/>
      <c r="O240" s="7"/>
      <c r="P240" s="9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</row>
    <row r="241" spans="1:63" ht="15.75">
      <c r="A241" s="75">
        <v>37</v>
      </c>
      <c r="C241" s="60" t="str">
        <f>+C233</f>
        <v>  Total of (a)-(b)</v>
      </c>
      <c r="D241" s="52"/>
      <c r="E241" s="21"/>
      <c r="F241" s="21"/>
      <c r="G241" s="21"/>
      <c r="H241" s="21"/>
      <c r="I241" s="51"/>
      <c r="J241" s="247" t="s">
        <v>326</v>
      </c>
      <c r="K241" s="62"/>
      <c r="L241" s="67"/>
      <c r="M241" s="3"/>
      <c r="N241" s="4"/>
      <c r="O241" s="7"/>
      <c r="P241" s="9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</row>
    <row r="242" spans="1:63" ht="15.75">
      <c r="A242" s="75"/>
      <c r="C242" s="60"/>
      <c r="D242" s="52"/>
      <c r="E242" s="21"/>
      <c r="F242" s="21"/>
      <c r="G242" s="21"/>
      <c r="H242" s="21"/>
      <c r="I242" s="51"/>
      <c r="J242" s="247"/>
      <c r="K242" s="62"/>
      <c r="L242" s="67"/>
      <c r="M242" s="3"/>
      <c r="N242" s="4"/>
      <c r="O242" s="7"/>
      <c r="P242" s="9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</row>
    <row r="243" spans="1:63" ht="15.75">
      <c r="A243" s="75"/>
      <c r="C243" s="276" t="s">
        <v>449</v>
      </c>
      <c r="M243" s="3"/>
      <c r="N243" s="4"/>
      <c r="O243" s="7"/>
      <c r="P243" s="9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</row>
    <row r="244" spans="1:63" ht="15">
      <c r="A244" s="75"/>
      <c r="C244" s="275" t="s">
        <v>499</v>
      </c>
      <c r="D244" s="7"/>
      <c r="E244" s="10"/>
      <c r="F244" s="10"/>
      <c r="G244" s="10"/>
      <c r="H244" s="10"/>
      <c r="I244" s="7"/>
      <c r="J244" s="10"/>
      <c r="K244" s="7"/>
      <c r="L244" s="10"/>
      <c r="M244" s="7"/>
      <c r="N244" s="7"/>
      <c r="O244" s="7"/>
      <c r="P244" s="9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</row>
    <row r="245" spans="1:63" ht="15">
      <c r="A245" s="75"/>
      <c r="C245" s="9"/>
      <c r="D245" s="7"/>
      <c r="E245" s="10"/>
      <c r="F245" s="10"/>
      <c r="G245" s="10"/>
      <c r="H245" s="10"/>
      <c r="I245" s="7"/>
      <c r="J245" s="10"/>
      <c r="K245" s="7"/>
      <c r="L245" s="10"/>
      <c r="M245" s="7"/>
      <c r="N245" s="7"/>
      <c r="O245" s="7"/>
      <c r="P245" s="9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</row>
    <row r="246" spans="1:63" ht="15">
      <c r="A246" s="75"/>
      <c r="C246" s="9"/>
      <c r="D246" s="7"/>
      <c r="E246" s="10"/>
      <c r="F246" s="10"/>
      <c r="G246" s="10"/>
      <c r="H246" s="10"/>
      <c r="I246" s="7"/>
      <c r="J246" s="10"/>
      <c r="K246" s="7"/>
      <c r="L246" s="10"/>
      <c r="M246" s="7"/>
      <c r="N246" s="7"/>
      <c r="O246" s="7"/>
      <c r="P246" s="9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</row>
    <row r="247" spans="1:63" ht="15">
      <c r="A247" s="75"/>
      <c r="C247" s="9"/>
      <c r="D247" s="7"/>
      <c r="E247" s="10"/>
      <c r="F247" s="10"/>
      <c r="G247" s="10"/>
      <c r="H247" s="10"/>
      <c r="I247" s="7"/>
      <c r="J247" s="10"/>
      <c r="K247" s="7"/>
      <c r="L247" s="10"/>
      <c r="M247" s="7"/>
      <c r="N247" s="7"/>
      <c r="O247" s="7"/>
      <c r="P247" s="9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</row>
    <row r="248" spans="1:63" ht="15.75">
      <c r="A248" s="75"/>
      <c r="B248" s="3"/>
      <c r="C248" s="60" t="str">
        <f>C1</f>
        <v>Formula Rate - Non-Levelized </v>
      </c>
      <c r="D248" s="52"/>
      <c r="E248" s="21" t="str">
        <f>E1</f>
        <v>     Rate Formula Template</v>
      </c>
      <c r="F248" s="21"/>
      <c r="G248" s="21"/>
      <c r="J248" t="str">
        <f>+J1</f>
        <v>Statement BK</v>
      </c>
      <c r="K248" s="64"/>
      <c r="L248" s="67"/>
      <c r="M248" s="3"/>
      <c r="N248" s="4"/>
      <c r="O248" s="7"/>
      <c r="P248" s="9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</row>
    <row r="249" spans="1:63" ht="15.75">
      <c r="A249" s="75"/>
      <c r="B249" s="3"/>
      <c r="C249" s="60"/>
      <c r="D249" s="52"/>
      <c r="E249" s="21" t="str">
        <f>E2</f>
        <v> Utilizing FERC Form 1 Data</v>
      </c>
      <c r="F249" s="21"/>
      <c r="G249" s="21"/>
      <c r="H249" s="21"/>
      <c r="J249" t="str">
        <f>+J2</f>
        <v>Schedule WEN</v>
      </c>
      <c r="K249" s="64"/>
      <c r="L249" s="67"/>
      <c r="M249" s="3"/>
      <c r="N249" s="4"/>
      <c r="O249" s="7"/>
      <c r="P249" s="9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</row>
    <row r="250" spans="1:63" ht="15.75">
      <c r="A250" s="75"/>
      <c r="B250" s="3"/>
      <c r="C250" s="60"/>
      <c r="D250" s="52"/>
      <c r="E250" s="21"/>
      <c r="F250" s="21"/>
      <c r="G250" s="21"/>
      <c r="H250" s="21"/>
      <c r="I250" s="92" t="str">
        <f>I3</f>
        <v>For the 12 months ended 12/31/04</v>
      </c>
      <c r="K250" s="64"/>
      <c r="L250" s="67"/>
      <c r="M250" s="3"/>
      <c r="N250" s="4"/>
      <c r="O250" s="7"/>
      <c r="P250" s="7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</row>
    <row r="251" spans="1:63" ht="15.75">
      <c r="A251" s="75"/>
      <c r="B251" s="3"/>
      <c r="C251" s="60"/>
      <c r="D251" s="52"/>
      <c r="E251" s="22" t="str">
        <f>+E4</f>
        <v>WESTAR ENERGY, INC.</v>
      </c>
      <c r="F251" s="21"/>
      <c r="G251" s="21"/>
      <c r="H251" s="21"/>
      <c r="I251" s="51"/>
      <c r="J251" s="92" t="s">
        <v>399</v>
      </c>
      <c r="K251" s="64"/>
      <c r="L251" s="67"/>
      <c r="M251" s="3"/>
      <c r="N251" s="4"/>
      <c r="O251" s="7"/>
      <c r="P251" s="7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</row>
    <row r="252" spans="1:63" ht="15.75">
      <c r="A252" s="75"/>
      <c r="B252" s="3"/>
      <c r="C252" s="60"/>
      <c r="D252" s="52"/>
      <c r="E252" s="22" t="str">
        <f>+E5</f>
        <v>(WEN)</v>
      </c>
      <c r="F252" s="21"/>
      <c r="G252" s="21"/>
      <c r="H252" s="21"/>
      <c r="I252" s="51"/>
      <c r="J252" s="92"/>
      <c r="K252" s="64"/>
      <c r="L252" s="67"/>
      <c r="M252" s="3"/>
      <c r="N252" s="4"/>
      <c r="O252" s="7"/>
      <c r="P252" s="7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</row>
    <row r="253" spans="2:63" ht="15.75">
      <c r="B253" s="3"/>
      <c r="C253" s="60"/>
      <c r="D253" s="52"/>
      <c r="E253" s="22" t="s">
        <v>384</v>
      </c>
      <c r="F253" s="21"/>
      <c r="G253" s="21"/>
      <c r="H253" s="21"/>
      <c r="I253" s="51"/>
      <c r="J253" s="92"/>
      <c r="K253" s="64"/>
      <c r="L253" s="67"/>
      <c r="M253" s="3"/>
      <c r="N253" s="4"/>
      <c r="O253" s="7"/>
      <c r="P253" s="7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</row>
    <row r="254" spans="1:63" ht="18">
      <c r="A254" s="95"/>
      <c r="B254" s="3"/>
      <c r="C254" s="1"/>
      <c r="D254" s="93"/>
      <c r="E254" s="2"/>
      <c r="F254" s="2"/>
      <c r="G254" s="2"/>
      <c r="H254" s="2"/>
      <c r="I254" s="3"/>
      <c r="J254" s="2"/>
      <c r="K254" s="3"/>
      <c r="L254" s="2"/>
      <c r="M254" s="3"/>
      <c r="N254" s="4"/>
      <c r="O254" s="7"/>
      <c r="P254" s="7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</row>
    <row r="255" spans="1:63" ht="20.25">
      <c r="A255" s="95"/>
      <c r="B255" s="94"/>
      <c r="C255" s="96" t="s">
        <v>162</v>
      </c>
      <c r="D255" s="95"/>
      <c r="E255" s="97"/>
      <c r="F255" s="97"/>
      <c r="G255" s="97"/>
      <c r="H255" s="97"/>
      <c r="I255" s="94"/>
      <c r="J255" s="97"/>
      <c r="K255" s="100"/>
      <c r="L255" s="101"/>
      <c r="M255" s="100"/>
      <c r="N255" s="98"/>
      <c r="O255" s="7"/>
      <c r="P255" s="7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</row>
    <row r="256" spans="1:63" ht="20.25">
      <c r="A256" s="95" t="s">
        <v>164</v>
      </c>
      <c r="B256" s="94"/>
      <c r="C256" s="96" t="s">
        <v>163</v>
      </c>
      <c r="D256" s="95"/>
      <c r="E256" s="97"/>
      <c r="F256" s="97"/>
      <c r="G256" s="97"/>
      <c r="H256" s="97"/>
      <c r="I256" s="94"/>
      <c r="J256" s="97"/>
      <c r="K256" s="100"/>
      <c r="L256" s="101"/>
      <c r="M256" s="100"/>
      <c r="N256" s="98"/>
      <c r="O256" s="7"/>
      <c r="P256" s="7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</row>
    <row r="257" spans="1:63" ht="21" thickBot="1">
      <c r="A257" s="99" t="s">
        <v>165</v>
      </c>
      <c r="B257" s="94"/>
      <c r="C257" s="96"/>
      <c r="D257" s="94"/>
      <c r="E257" s="97"/>
      <c r="F257" s="97"/>
      <c r="G257" s="97"/>
      <c r="H257" s="97"/>
      <c r="I257" s="94"/>
      <c r="J257" s="97"/>
      <c r="K257" s="100"/>
      <c r="L257" s="101"/>
      <c r="M257" s="100"/>
      <c r="N257" s="98"/>
      <c r="O257" s="7"/>
      <c r="P257" s="7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</row>
    <row r="258" spans="1:63" ht="20.25">
      <c r="A258" s="95"/>
      <c r="B258" s="94"/>
      <c r="C258" s="96"/>
      <c r="D258" s="94"/>
      <c r="E258" s="97"/>
      <c r="F258" s="97"/>
      <c r="G258" s="97"/>
      <c r="H258" s="97"/>
      <c r="I258" s="94"/>
      <c r="J258" s="97"/>
      <c r="K258" s="100"/>
      <c r="L258" s="101"/>
      <c r="M258" s="100"/>
      <c r="N258" s="98"/>
      <c r="O258" s="7"/>
      <c r="P258" s="7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</row>
    <row r="259" spans="2:63" ht="20.25">
      <c r="B259" s="94"/>
      <c r="C259" s="96"/>
      <c r="D259" s="94"/>
      <c r="E259" s="97"/>
      <c r="F259" s="97"/>
      <c r="G259" s="97"/>
      <c r="H259" s="97"/>
      <c r="I259" s="94"/>
      <c r="J259" s="97"/>
      <c r="K259" s="100"/>
      <c r="L259" s="101"/>
      <c r="M259" s="100"/>
      <c r="N259" s="98"/>
      <c r="O259" s="7"/>
      <c r="P259" s="7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</row>
    <row r="260" spans="1:63" ht="20.25">
      <c r="A260" s="95" t="s">
        <v>166</v>
      </c>
      <c r="B260" s="94"/>
      <c r="C260" s="127" t="s">
        <v>360</v>
      </c>
      <c r="D260" s="128"/>
      <c r="E260" s="129"/>
      <c r="F260" s="129"/>
      <c r="G260" s="129"/>
      <c r="H260" s="129"/>
      <c r="I260" s="128"/>
      <c r="J260" s="129"/>
      <c r="K260" s="130"/>
      <c r="L260" s="131"/>
      <c r="M260" s="130"/>
      <c r="N260" s="132"/>
      <c r="O260" s="7"/>
      <c r="P260" s="7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</row>
    <row r="261" spans="1:63" ht="20.25">
      <c r="A261" s="95" t="s">
        <v>167</v>
      </c>
      <c r="B261" s="94"/>
      <c r="C261" s="127" t="s">
        <v>361</v>
      </c>
      <c r="D261" s="128"/>
      <c r="E261" s="129"/>
      <c r="F261" s="129"/>
      <c r="G261" s="129"/>
      <c r="H261" s="129"/>
      <c r="I261" s="128"/>
      <c r="J261" s="129"/>
      <c r="K261" s="130"/>
      <c r="L261" s="131"/>
      <c r="M261" s="130"/>
      <c r="N261" s="132"/>
      <c r="O261" s="7"/>
      <c r="P261" s="7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</row>
    <row r="262" spans="1:63" ht="20.25">
      <c r="A262" s="95" t="s">
        <v>168</v>
      </c>
      <c r="B262" s="94"/>
      <c r="C262" s="127" t="s">
        <v>362</v>
      </c>
      <c r="D262" s="128"/>
      <c r="E262" s="128"/>
      <c r="F262" s="128"/>
      <c r="G262" s="128"/>
      <c r="H262" s="128"/>
      <c r="I262" s="128"/>
      <c r="J262" s="129"/>
      <c r="K262" s="130"/>
      <c r="L262" s="130"/>
      <c r="M262" s="130"/>
      <c r="N262" s="133"/>
      <c r="O262" s="7"/>
      <c r="P262" s="7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</row>
    <row r="263" spans="1:63" ht="20.25">
      <c r="A263" s="95" t="s">
        <v>169</v>
      </c>
      <c r="B263" s="94"/>
      <c r="C263" s="127" t="s">
        <v>362</v>
      </c>
      <c r="D263" s="128"/>
      <c r="E263" s="128"/>
      <c r="F263" s="128"/>
      <c r="G263" s="128"/>
      <c r="H263" s="128"/>
      <c r="I263" s="128"/>
      <c r="J263" s="129"/>
      <c r="K263" s="130"/>
      <c r="L263" s="130"/>
      <c r="M263" s="130"/>
      <c r="N263" s="133"/>
      <c r="O263" s="7"/>
      <c r="P263" s="7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</row>
    <row r="264" spans="1:63" ht="20.25">
      <c r="A264" s="95" t="s">
        <v>170</v>
      </c>
      <c r="B264" s="94"/>
      <c r="C264" s="128" t="s">
        <v>259</v>
      </c>
      <c r="D264" s="128"/>
      <c r="E264" s="128"/>
      <c r="F264" s="128"/>
      <c r="G264" s="128"/>
      <c r="H264" s="128"/>
      <c r="I264" s="128"/>
      <c r="J264" s="128"/>
      <c r="K264" s="130"/>
      <c r="L264" s="130"/>
      <c r="M264" s="130"/>
      <c r="N264" s="132"/>
      <c r="O264" s="7"/>
      <c r="P264" s="7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</row>
    <row r="265" spans="1:63" ht="20.25">
      <c r="A265" s="95" t="s">
        <v>171</v>
      </c>
      <c r="B265" s="94"/>
      <c r="C265" s="128" t="s">
        <v>172</v>
      </c>
      <c r="D265" s="128"/>
      <c r="E265" s="128"/>
      <c r="F265" s="128"/>
      <c r="G265" s="128"/>
      <c r="H265" s="128"/>
      <c r="I265" s="128"/>
      <c r="J265" s="128"/>
      <c r="K265" s="130"/>
      <c r="L265" s="130"/>
      <c r="M265" s="130"/>
      <c r="N265" s="132"/>
      <c r="O265" s="7"/>
      <c r="P265" s="7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</row>
    <row r="266" spans="1:63" ht="20.25">
      <c r="A266" s="95"/>
      <c r="B266" s="94"/>
      <c r="C266" s="128" t="s">
        <v>219</v>
      </c>
      <c r="D266" s="128"/>
      <c r="E266" s="128"/>
      <c r="F266" s="128"/>
      <c r="G266" s="128"/>
      <c r="H266" s="128"/>
      <c r="I266" s="128"/>
      <c r="J266" s="128"/>
      <c r="K266" s="130"/>
      <c r="L266" s="130"/>
      <c r="M266" s="130"/>
      <c r="N266" s="132"/>
      <c r="O266" s="7"/>
      <c r="P266" s="7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</row>
    <row r="267" spans="2:63" ht="20.25">
      <c r="B267" s="94"/>
      <c r="C267" s="128" t="s">
        <v>266</v>
      </c>
      <c r="D267" s="128"/>
      <c r="E267" s="128"/>
      <c r="F267" s="128"/>
      <c r="G267" s="128"/>
      <c r="H267" s="128"/>
      <c r="I267" s="128"/>
      <c r="J267" s="128"/>
      <c r="K267" s="130"/>
      <c r="L267" s="130"/>
      <c r="M267" s="130"/>
      <c r="N267" s="132"/>
      <c r="O267" s="7"/>
      <c r="P267" s="7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</row>
    <row r="268" spans="1:63" ht="20.25">
      <c r="A268" s="95" t="s">
        <v>173</v>
      </c>
      <c r="B268" s="94"/>
      <c r="C268" s="128" t="s">
        <v>174</v>
      </c>
      <c r="D268" s="128"/>
      <c r="E268" s="128"/>
      <c r="F268" s="128"/>
      <c r="G268" s="128"/>
      <c r="H268" s="128"/>
      <c r="I268" s="128"/>
      <c r="J268" s="128"/>
      <c r="K268" s="130"/>
      <c r="L268" s="130"/>
      <c r="M268" s="130"/>
      <c r="N268" s="132"/>
      <c r="O268" s="7"/>
      <c r="P268" s="7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</row>
    <row r="269" spans="1:63" ht="20.25">
      <c r="A269" s="95" t="s">
        <v>175</v>
      </c>
      <c r="B269" s="94"/>
      <c r="C269" s="128" t="s">
        <v>176</v>
      </c>
      <c r="D269" s="128"/>
      <c r="E269" s="128"/>
      <c r="F269" s="128"/>
      <c r="G269" s="128"/>
      <c r="H269" s="128"/>
      <c r="I269" s="128"/>
      <c r="J269" s="128"/>
      <c r="K269" s="130"/>
      <c r="L269" s="130"/>
      <c r="M269" s="130"/>
      <c r="N269" s="132"/>
      <c r="O269" s="7"/>
      <c r="P269" s="7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</row>
    <row r="270" spans="1:63" ht="20.25">
      <c r="A270" s="95"/>
      <c r="B270" s="94"/>
      <c r="C270" s="128" t="s">
        <v>220</v>
      </c>
      <c r="D270" s="128"/>
      <c r="E270" s="128"/>
      <c r="F270" s="128"/>
      <c r="G270" s="128"/>
      <c r="H270" s="128"/>
      <c r="I270" s="128"/>
      <c r="J270" s="128"/>
      <c r="K270" s="130"/>
      <c r="L270" s="130"/>
      <c r="M270" s="130"/>
      <c r="N270" s="132"/>
      <c r="O270" s="7"/>
      <c r="P270" s="7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</row>
    <row r="271" spans="1:63" ht="20.25">
      <c r="A271" s="95" t="s">
        <v>177</v>
      </c>
      <c r="B271" s="94"/>
      <c r="C271" s="128" t="s">
        <v>366</v>
      </c>
      <c r="D271" s="128"/>
      <c r="E271" s="128"/>
      <c r="F271" s="128"/>
      <c r="G271" s="128"/>
      <c r="H271" s="128"/>
      <c r="I271" s="128"/>
      <c r="J271" s="128"/>
      <c r="K271" s="130"/>
      <c r="L271" s="130"/>
      <c r="M271" s="130"/>
      <c r="N271" s="132"/>
      <c r="O271" s="7"/>
      <c r="P271" s="7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</row>
    <row r="272" spans="1:63" ht="20.25">
      <c r="A272" s="95"/>
      <c r="B272" s="94"/>
      <c r="C272" s="126" t="s">
        <v>456</v>
      </c>
      <c r="D272" s="128"/>
      <c r="E272" s="128"/>
      <c r="F272" s="128"/>
      <c r="G272" s="128"/>
      <c r="H272" s="128"/>
      <c r="I272" s="128"/>
      <c r="J272" s="128"/>
      <c r="K272" s="130"/>
      <c r="L272" s="130"/>
      <c r="M272" s="130"/>
      <c r="N272" s="132"/>
      <c r="O272" s="7"/>
      <c r="P272" s="7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</row>
    <row r="273" spans="1:63" ht="20.25">
      <c r="A273" s="95"/>
      <c r="B273" s="94"/>
      <c r="C273" s="128" t="s">
        <v>380</v>
      </c>
      <c r="D273" s="128"/>
      <c r="E273" s="128"/>
      <c r="F273" s="128"/>
      <c r="G273" s="128"/>
      <c r="H273" s="128"/>
      <c r="I273" s="128"/>
      <c r="J273" s="128"/>
      <c r="K273" s="130"/>
      <c r="L273" s="130"/>
      <c r="M273" s="130"/>
      <c r="N273" s="132"/>
      <c r="O273" s="7"/>
      <c r="P273" s="7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</row>
    <row r="274" spans="1:63" ht="20.25">
      <c r="A274" s="95" t="s">
        <v>178</v>
      </c>
      <c r="B274" s="94"/>
      <c r="C274" s="128" t="s">
        <v>179</v>
      </c>
      <c r="D274" s="128"/>
      <c r="E274" s="128"/>
      <c r="F274" s="128"/>
      <c r="G274" s="128"/>
      <c r="H274" s="128"/>
      <c r="I274" s="128"/>
      <c r="J274" s="128"/>
      <c r="K274" s="130"/>
      <c r="L274" s="130"/>
      <c r="M274" s="130"/>
      <c r="N274" s="132"/>
      <c r="O274" s="7"/>
      <c r="P274" s="7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</row>
    <row r="275" spans="1:63" ht="20.25">
      <c r="A275" s="95"/>
      <c r="B275" s="94"/>
      <c r="C275" s="128" t="s">
        <v>368</v>
      </c>
      <c r="D275" s="128"/>
      <c r="E275" s="128"/>
      <c r="F275" s="128"/>
      <c r="G275" s="128"/>
      <c r="H275" s="128"/>
      <c r="I275" s="128"/>
      <c r="J275" s="128"/>
      <c r="K275" s="130"/>
      <c r="L275" s="130"/>
      <c r="M275" s="130"/>
      <c r="N275" s="132"/>
      <c r="O275" s="137"/>
      <c r="P275" s="7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</row>
    <row r="276" spans="1:63" ht="20.25">
      <c r="A276" s="95"/>
      <c r="B276" s="94"/>
      <c r="C276" s="128" t="s">
        <v>367</v>
      </c>
      <c r="D276" s="128"/>
      <c r="E276" s="128"/>
      <c r="F276" s="128"/>
      <c r="G276" s="128"/>
      <c r="H276" s="128"/>
      <c r="I276" s="128"/>
      <c r="J276" s="128"/>
      <c r="K276" s="130"/>
      <c r="L276" s="130"/>
      <c r="M276" s="130"/>
      <c r="N276" s="132"/>
      <c r="O276" s="7"/>
      <c r="P276" s="7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</row>
    <row r="277" spans="1:63" ht="20.25">
      <c r="A277" s="95" t="s">
        <v>180</v>
      </c>
      <c r="B277" s="94"/>
      <c r="C277" s="128" t="s">
        <v>199</v>
      </c>
      <c r="D277" s="128"/>
      <c r="E277" s="128"/>
      <c r="F277" s="128"/>
      <c r="G277" s="128"/>
      <c r="H277" s="128"/>
      <c r="I277" s="128"/>
      <c r="J277" s="128"/>
      <c r="K277" s="130"/>
      <c r="L277" s="130"/>
      <c r="M277" s="130"/>
      <c r="N277" s="132"/>
      <c r="O277" s="7"/>
      <c r="P277" s="7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</row>
    <row r="278" spans="1:63" ht="20.25">
      <c r="A278" s="95"/>
      <c r="B278" s="94"/>
      <c r="C278" s="128" t="s">
        <v>221</v>
      </c>
      <c r="D278" s="128"/>
      <c r="E278" s="128"/>
      <c r="F278" s="128"/>
      <c r="G278" s="128"/>
      <c r="H278" s="128"/>
      <c r="I278" s="128"/>
      <c r="J278" s="128"/>
      <c r="K278" s="130"/>
      <c r="L278" s="130"/>
      <c r="M278" s="130"/>
      <c r="N278" s="132"/>
      <c r="O278" s="7"/>
      <c r="P278" s="7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</row>
    <row r="279" spans="1:63" ht="20.25">
      <c r="A279" s="95"/>
      <c r="B279" s="94"/>
      <c r="C279" s="128" t="s">
        <v>222</v>
      </c>
      <c r="D279" s="128"/>
      <c r="E279" s="128"/>
      <c r="F279" s="128"/>
      <c r="G279" s="128"/>
      <c r="H279" s="128"/>
      <c r="I279" s="128"/>
      <c r="J279" s="128"/>
      <c r="K279" s="130"/>
      <c r="L279" s="130"/>
      <c r="M279" s="130"/>
      <c r="N279" s="132"/>
      <c r="O279" s="7"/>
      <c r="P279" s="7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</row>
    <row r="280" spans="1:63" ht="20.25">
      <c r="A280" s="95"/>
      <c r="B280" s="94"/>
      <c r="C280" s="128" t="s">
        <v>223</v>
      </c>
      <c r="D280" s="128"/>
      <c r="E280" s="128"/>
      <c r="F280" s="128"/>
      <c r="G280" s="128"/>
      <c r="H280" s="128"/>
      <c r="I280" s="128"/>
      <c r="J280" s="128"/>
      <c r="K280" s="130"/>
      <c r="L280" s="130"/>
      <c r="M280" s="130"/>
      <c r="N280" s="132"/>
      <c r="O280" s="7"/>
      <c r="P280" s="7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</row>
    <row r="281" spans="1:63" ht="20.25">
      <c r="A281" s="95"/>
      <c r="B281" s="94"/>
      <c r="C281" s="128" t="s">
        <v>225</v>
      </c>
      <c r="D281" s="128"/>
      <c r="E281" s="128"/>
      <c r="F281" s="128"/>
      <c r="G281" s="128"/>
      <c r="H281" s="128"/>
      <c r="I281" s="128"/>
      <c r="J281" s="128"/>
      <c r="K281" s="130"/>
      <c r="L281" s="130"/>
      <c r="M281" s="130"/>
      <c r="N281" s="132"/>
      <c r="O281" s="7"/>
      <c r="P281" s="7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</row>
    <row r="282" spans="1:63" ht="20.25">
      <c r="A282" s="95"/>
      <c r="B282" s="94"/>
      <c r="C282" s="128" t="s">
        <v>240</v>
      </c>
      <c r="D282" s="128"/>
      <c r="E282" s="128"/>
      <c r="F282" s="128"/>
      <c r="G282" s="128"/>
      <c r="H282" s="128"/>
      <c r="I282" s="128"/>
      <c r="J282" s="128"/>
      <c r="K282" s="130"/>
      <c r="L282" s="130"/>
      <c r="M282" s="130"/>
      <c r="N282" s="132"/>
      <c r="O282" s="7"/>
      <c r="P282" s="7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</row>
    <row r="283" spans="1:63" ht="20.25">
      <c r="A283" s="95" t="s">
        <v>2</v>
      </c>
      <c r="B283" s="94"/>
      <c r="C283" s="128" t="s">
        <v>239</v>
      </c>
      <c r="D283" s="128" t="s">
        <v>226</v>
      </c>
      <c r="E283" s="159">
        <v>0.35</v>
      </c>
      <c r="F283" s="128"/>
      <c r="G283" s="128"/>
      <c r="H283" s="128"/>
      <c r="I283" s="128"/>
      <c r="J283" s="128"/>
      <c r="K283" s="130"/>
      <c r="L283" s="130"/>
      <c r="M283" s="130"/>
      <c r="N283" s="132"/>
      <c r="O283" s="7"/>
      <c r="P283" s="7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</row>
    <row r="284" spans="1:63" ht="20.25">
      <c r="A284" s="95"/>
      <c r="B284" s="94"/>
      <c r="C284" s="128"/>
      <c r="D284" s="128" t="s">
        <v>227</v>
      </c>
      <c r="E284" s="159">
        <v>0.0735</v>
      </c>
      <c r="F284" s="128" t="s">
        <v>228</v>
      </c>
      <c r="G284" s="128"/>
      <c r="H284" s="128"/>
      <c r="I284" s="128"/>
      <c r="J284" s="128"/>
      <c r="K284" s="130"/>
      <c r="L284" s="130"/>
      <c r="M284" s="130"/>
      <c r="N284" s="132"/>
      <c r="O284" s="7"/>
      <c r="P284" s="7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</row>
    <row r="285" spans="1:63" ht="20.25">
      <c r="A285" s="95"/>
      <c r="B285" s="94"/>
      <c r="C285" s="128"/>
      <c r="D285" s="128" t="s">
        <v>229</v>
      </c>
      <c r="E285" s="159">
        <v>0</v>
      </c>
      <c r="F285" s="128" t="s">
        <v>230</v>
      </c>
      <c r="G285" s="128"/>
      <c r="H285" s="128"/>
      <c r="I285" s="128"/>
      <c r="J285" s="128"/>
      <c r="K285" s="130"/>
      <c r="L285" s="130"/>
      <c r="M285" s="130"/>
      <c r="N285" s="132"/>
      <c r="O285" s="7"/>
      <c r="P285" s="7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</row>
    <row r="286" spans="1:63" ht="20.25">
      <c r="A286" s="95" t="s">
        <v>181</v>
      </c>
      <c r="B286" s="94"/>
      <c r="C286" s="128" t="s">
        <v>265</v>
      </c>
      <c r="D286" s="128"/>
      <c r="E286" s="128"/>
      <c r="F286" s="128"/>
      <c r="G286" s="128"/>
      <c r="H286" s="128"/>
      <c r="I286" s="128"/>
      <c r="J286" s="128"/>
      <c r="K286" s="130"/>
      <c r="L286" s="130"/>
      <c r="M286" s="130"/>
      <c r="N286" s="132"/>
      <c r="O286" s="7"/>
      <c r="P286" s="7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</row>
    <row r="287" spans="1:63" ht="20.25">
      <c r="A287" s="95" t="s">
        <v>182</v>
      </c>
      <c r="B287" s="94"/>
      <c r="C287" s="128" t="s">
        <v>370</v>
      </c>
      <c r="D287" s="128"/>
      <c r="E287" s="128"/>
      <c r="F287" s="128"/>
      <c r="G287" s="128"/>
      <c r="H287" s="128"/>
      <c r="I287" s="128"/>
      <c r="J287" s="128"/>
      <c r="K287" s="130"/>
      <c r="L287" s="130"/>
      <c r="M287" s="130"/>
      <c r="N287" s="132"/>
      <c r="O287" s="7"/>
      <c r="P287" s="7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</row>
    <row r="288" spans="1:63" ht="20.25">
      <c r="A288" s="95"/>
      <c r="B288" s="94"/>
      <c r="C288" s="128" t="s">
        <v>369</v>
      </c>
      <c r="D288" s="128"/>
      <c r="E288" s="128"/>
      <c r="F288" s="128"/>
      <c r="G288" s="128"/>
      <c r="H288" s="128"/>
      <c r="I288" s="128"/>
      <c r="J288" s="128"/>
      <c r="K288" s="130"/>
      <c r="L288" s="130"/>
      <c r="M288" s="130"/>
      <c r="N288" s="132"/>
      <c r="O288" s="7"/>
      <c r="P288" s="7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</row>
    <row r="289" spans="1:63" ht="20.25">
      <c r="A289" s="95" t="s">
        <v>183</v>
      </c>
      <c r="B289" s="94"/>
      <c r="C289" s="128" t="s">
        <v>253</v>
      </c>
      <c r="D289" s="128"/>
      <c r="E289" s="128"/>
      <c r="F289" s="128"/>
      <c r="G289" s="128"/>
      <c r="H289" s="128"/>
      <c r="I289" s="128"/>
      <c r="J289" s="128"/>
      <c r="K289" s="130"/>
      <c r="L289" s="130"/>
      <c r="M289" s="130"/>
      <c r="N289" s="132"/>
      <c r="O289" s="7"/>
      <c r="P289" s="7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</row>
    <row r="290" spans="1:63" ht="20.25">
      <c r="A290" s="95"/>
      <c r="B290" s="94"/>
      <c r="C290" s="128" t="s">
        <v>493</v>
      </c>
      <c r="D290" s="128"/>
      <c r="E290" s="128"/>
      <c r="F290" s="128"/>
      <c r="G290" s="128"/>
      <c r="H290" s="128"/>
      <c r="I290" s="128"/>
      <c r="J290" s="128"/>
      <c r="K290" s="130"/>
      <c r="L290" s="130"/>
      <c r="M290" s="130"/>
      <c r="N290" s="132"/>
      <c r="O290" s="137"/>
      <c r="P290" s="7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</row>
    <row r="291" spans="1:63" ht="20.25">
      <c r="A291" s="95"/>
      <c r="B291" s="94"/>
      <c r="C291" s="128" t="s">
        <v>494</v>
      </c>
      <c r="D291" s="128"/>
      <c r="E291" s="128"/>
      <c r="F291" s="128"/>
      <c r="G291" s="128"/>
      <c r="H291" s="128"/>
      <c r="I291" s="128"/>
      <c r="J291" s="128"/>
      <c r="K291" s="130"/>
      <c r="L291" s="130"/>
      <c r="M291" s="130"/>
      <c r="N291" s="132"/>
      <c r="O291" s="137"/>
      <c r="P291" s="7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</row>
    <row r="292" spans="1:63" ht="20.25">
      <c r="A292" s="95" t="s">
        <v>184</v>
      </c>
      <c r="B292" s="94"/>
      <c r="C292" s="128" t="s">
        <v>251</v>
      </c>
      <c r="D292" s="128"/>
      <c r="E292" s="128"/>
      <c r="F292" s="128"/>
      <c r="G292" s="128"/>
      <c r="H292" s="128"/>
      <c r="I292" s="128"/>
      <c r="J292" s="128"/>
      <c r="K292" s="130"/>
      <c r="L292" s="130"/>
      <c r="M292" s="130"/>
      <c r="N292" s="132"/>
      <c r="O292" s="7"/>
      <c r="P292" s="7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</row>
    <row r="293" spans="1:63" ht="20.25">
      <c r="A293" s="95" t="s">
        <v>185</v>
      </c>
      <c r="B293" s="94"/>
      <c r="C293" s="128" t="s">
        <v>186</v>
      </c>
      <c r="D293" s="128"/>
      <c r="E293" s="128"/>
      <c r="F293" s="128"/>
      <c r="G293" s="128"/>
      <c r="H293" s="128"/>
      <c r="I293" s="128"/>
      <c r="J293" s="128"/>
      <c r="K293" s="130"/>
      <c r="L293" s="130"/>
      <c r="M293" s="130"/>
      <c r="N293" s="132"/>
      <c r="O293" s="7"/>
      <c r="P293" s="7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</row>
    <row r="294" spans="1:63" ht="20.25">
      <c r="A294" s="95"/>
      <c r="B294" s="94"/>
      <c r="C294" s="128" t="s">
        <v>187</v>
      </c>
      <c r="D294" s="128"/>
      <c r="E294" s="128"/>
      <c r="F294" s="128"/>
      <c r="G294" s="128"/>
      <c r="H294" s="128"/>
      <c r="I294" s="128"/>
      <c r="J294" s="128"/>
      <c r="K294" s="130"/>
      <c r="L294" s="130"/>
      <c r="M294" s="130"/>
      <c r="N294" s="132"/>
      <c r="O294" s="7"/>
      <c r="P294" s="7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</row>
    <row r="295" spans="1:63" ht="20.25">
      <c r="A295" s="95"/>
      <c r="B295" s="94"/>
      <c r="C295" s="128" t="s">
        <v>188</v>
      </c>
      <c r="D295" s="128"/>
      <c r="E295" s="128"/>
      <c r="F295" s="128"/>
      <c r="G295" s="128"/>
      <c r="H295" s="128"/>
      <c r="I295" s="128"/>
      <c r="J295" s="128"/>
      <c r="K295" s="130"/>
      <c r="L295" s="130"/>
      <c r="M295" s="130"/>
      <c r="N295" s="132"/>
      <c r="O295" s="7"/>
      <c r="P295" s="7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</row>
    <row r="296" spans="1:63" ht="20.25">
      <c r="A296" s="95" t="s">
        <v>189</v>
      </c>
      <c r="B296" s="94"/>
      <c r="C296" s="128" t="s">
        <v>212</v>
      </c>
      <c r="D296" s="128"/>
      <c r="E296" s="128"/>
      <c r="F296" s="128"/>
      <c r="G296" s="128"/>
      <c r="H296" s="128"/>
      <c r="I296" s="128"/>
      <c r="J296" s="128"/>
      <c r="K296" s="130"/>
      <c r="L296" s="130"/>
      <c r="M296" s="130"/>
      <c r="N296" s="132"/>
      <c r="O296" s="7"/>
      <c r="P296" s="7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</row>
    <row r="297" spans="1:63" ht="20.25">
      <c r="A297" s="95"/>
      <c r="B297" s="94"/>
      <c r="C297" s="128" t="s">
        <v>224</v>
      </c>
      <c r="D297" s="128"/>
      <c r="E297" s="128"/>
      <c r="F297" s="128"/>
      <c r="G297" s="128"/>
      <c r="H297" s="128"/>
      <c r="I297" s="128"/>
      <c r="J297" s="128"/>
      <c r="K297" s="130"/>
      <c r="L297" s="130"/>
      <c r="M297" s="130"/>
      <c r="N297" s="132"/>
      <c r="O297" s="7"/>
      <c r="P297" s="7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</row>
    <row r="298" spans="1:63" ht="20.25">
      <c r="A298" s="95" t="s">
        <v>190</v>
      </c>
      <c r="B298" s="94"/>
      <c r="C298" s="128" t="s">
        <v>374</v>
      </c>
      <c r="D298" s="128"/>
      <c r="E298" s="128"/>
      <c r="F298" s="128"/>
      <c r="G298" s="128"/>
      <c r="H298" s="128"/>
      <c r="I298" s="128"/>
      <c r="J298" s="128"/>
      <c r="K298" s="130"/>
      <c r="L298" s="130"/>
      <c r="M298" s="130"/>
      <c r="N298" s="132"/>
      <c r="O298" s="7"/>
      <c r="P298" s="7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</row>
    <row r="299" spans="1:63" ht="18">
      <c r="A299" s="95" t="s">
        <v>260</v>
      </c>
      <c r="B299" s="3"/>
      <c r="C299" s="128" t="s">
        <v>261</v>
      </c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5"/>
      <c r="O299" s="7"/>
      <c r="P299" s="7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</row>
    <row r="300" spans="2:63" ht="18">
      <c r="B300" s="3"/>
      <c r="C300" s="128" t="s">
        <v>495</v>
      </c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5"/>
      <c r="O300" s="7"/>
      <c r="P300" s="7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</row>
    <row r="301" spans="3:63" ht="18">
      <c r="C301" s="136" t="s">
        <v>496</v>
      </c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7"/>
      <c r="P301" s="7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</row>
    <row r="302" spans="1:63" ht="18">
      <c r="A302" s="125" t="s">
        <v>268</v>
      </c>
      <c r="B302" s="124"/>
      <c r="C302" s="136" t="s">
        <v>269</v>
      </c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7"/>
      <c r="P302" s="7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</row>
    <row r="303" spans="1:63" ht="18">
      <c r="A303" s="124"/>
      <c r="B303" s="124"/>
      <c r="C303" s="136" t="s">
        <v>373</v>
      </c>
      <c r="D303" s="138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7"/>
      <c r="P303" s="7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</row>
    <row r="304" spans="1:19" ht="18">
      <c r="A304" s="124"/>
      <c r="B304" s="124"/>
      <c r="C304" s="136" t="s">
        <v>372</v>
      </c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5"/>
      <c r="P304" s="5"/>
      <c r="Q304" s="6"/>
      <c r="R304" s="6"/>
      <c r="S304" s="6"/>
    </row>
    <row r="305" spans="1:19" ht="18">
      <c r="A305" s="124"/>
      <c r="B305" s="124"/>
      <c r="C305" s="136" t="s">
        <v>371</v>
      </c>
      <c r="D305" s="139"/>
      <c r="E305" s="140"/>
      <c r="F305" s="139"/>
      <c r="G305" s="139"/>
      <c r="H305" s="139"/>
      <c r="I305" s="139"/>
      <c r="J305" s="139"/>
      <c r="K305" s="139"/>
      <c r="L305" s="139"/>
      <c r="M305" s="139"/>
      <c r="N305" s="139"/>
      <c r="O305" s="5"/>
      <c r="P305" s="5"/>
      <c r="Q305" s="6"/>
      <c r="R305" s="6"/>
      <c r="S305" s="6"/>
    </row>
    <row r="306" spans="1:19" ht="18">
      <c r="A306" s="125" t="s">
        <v>451</v>
      </c>
      <c r="B306" s="124"/>
      <c r="C306" s="136" t="s">
        <v>454</v>
      </c>
      <c r="D306" s="139"/>
      <c r="E306" s="139"/>
      <c r="F306" s="139"/>
      <c r="G306" s="139"/>
      <c r="H306" s="139"/>
      <c r="I306" s="139"/>
      <c r="J306" s="139"/>
      <c r="K306" s="139"/>
      <c r="L306" s="139"/>
      <c r="M306" s="5"/>
      <c r="N306" s="5"/>
      <c r="O306" s="5"/>
      <c r="P306" s="5"/>
      <c r="Q306" s="6"/>
      <c r="R306" s="6"/>
      <c r="S306" s="6"/>
    </row>
    <row r="307" spans="1:19" ht="18" customHeight="1">
      <c r="A307" s="125" t="s">
        <v>452</v>
      </c>
      <c r="B307" s="124"/>
      <c r="C307" s="136" t="s">
        <v>509</v>
      </c>
      <c r="D307" s="139"/>
      <c r="E307" s="139"/>
      <c r="F307" s="139"/>
      <c r="G307" s="139"/>
      <c r="H307" s="139"/>
      <c r="I307" s="139"/>
      <c r="J307" s="139"/>
      <c r="K307" s="139"/>
      <c r="L307" s="139"/>
      <c r="M307" s="5"/>
      <c r="N307" s="5"/>
      <c r="O307" s="5"/>
      <c r="P307" s="5"/>
      <c r="Q307" s="6"/>
      <c r="R307" s="6"/>
      <c r="S307" s="6"/>
    </row>
    <row r="308" spans="1:19" ht="18">
      <c r="A308" s="125"/>
      <c r="B308" s="124"/>
      <c r="C308" s="136" t="s">
        <v>510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5"/>
      <c r="N308" s="5"/>
      <c r="O308" s="5"/>
      <c r="P308" s="5"/>
      <c r="Q308" s="6"/>
      <c r="R308" s="6"/>
      <c r="S308" s="6"/>
    </row>
    <row r="309" spans="1:19" ht="20.25">
      <c r="A309" s="181" t="s">
        <v>453</v>
      </c>
      <c r="B309" s="124"/>
      <c r="C309" s="136" t="s">
        <v>455</v>
      </c>
      <c r="D309" s="139"/>
      <c r="E309" s="139"/>
      <c r="F309" s="139"/>
      <c r="G309" s="139"/>
      <c r="H309" s="139"/>
      <c r="I309" s="139"/>
      <c r="J309" s="139"/>
      <c r="K309" s="139"/>
      <c r="L309" s="139"/>
      <c r="M309" s="5"/>
      <c r="N309" s="5"/>
      <c r="O309" s="5"/>
      <c r="P309" s="5"/>
      <c r="Q309" s="6"/>
      <c r="R309" s="6"/>
      <c r="S309" s="6"/>
    </row>
    <row r="310" spans="1:19" ht="20.25">
      <c r="A310" s="184"/>
      <c r="B310" s="182"/>
      <c r="C310" s="185"/>
      <c r="D310" s="182"/>
      <c r="E310" s="182"/>
      <c r="G310" s="182"/>
      <c r="H310" s="182"/>
      <c r="J310" s="259" t="s">
        <v>2</v>
      </c>
      <c r="K310" s="182"/>
      <c r="L310" s="182"/>
      <c r="M310" s="193" t="s">
        <v>2</v>
      </c>
      <c r="N310" s="6"/>
      <c r="O310" s="6"/>
      <c r="Q310" s="6"/>
      <c r="R310" s="6"/>
      <c r="S310" s="6"/>
    </row>
    <row r="311" spans="1:19" ht="20.25">
      <c r="A311" s="184"/>
      <c r="B311" s="182"/>
      <c r="C311" s="185"/>
      <c r="D311" s="182"/>
      <c r="E311" s="182"/>
      <c r="G311" s="182"/>
      <c r="H311" s="182"/>
      <c r="J311" t="str">
        <f>+J1</f>
        <v>Statement BK</v>
      </c>
      <c r="K311" s="182"/>
      <c r="L311" s="182"/>
      <c r="M311" s="193"/>
      <c r="N311" s="6"/>
      <c r="O311" s="6"/>
      <c r="Q311" s="6"/>
      <c r="R311" s="6"/>
      <c r="S311" s="6"/>
    </row>
    <row r="312" spans="1:19" ht="20.25">
      <c r="A312" s="184"/>
      <c r="B312" s="182"/>
      <c r="C312" s="185"/>
      <c r="D312" s="182"/>
      <c r="E312" s="182"/>
      <c r="G312" s="182"/>
      <c r="H312" s="182"/>
      <c r="J312" t="s">
        <v>487</v>
      </c>
      <c r="K312" s="182"/>
      <c r="L312" s="182"/>
      <c r="M312" s="193"/>
      <c r="N312" s="6"/>
      <c r="O312" s="6"/>
      <c r="Q312" s="6"/>
      <c r="R312" s="6"/>
      <c r="S312" s="6"/>
    </row>
    <row r="313" spans="1:19" ht="20.25">
      <c r="A313" s="184"/>
      <c r="B313" s="182"/>
      <c r="D313" s="187"/>
      <c r="F313" s="187"/>
      <c r="G313" s="187"/>
      <c r="H313" s="187"/>
      <c r="I313" s="252" t="str">
        <f>I3</f>
        <v>For the 12 months ended 12/31/04</v>
      </c>
      <c r="J313" s="259"/>
      <c r="K313" s="187"/>
      <c r="L313" s="182"/>
      <c r="M313" s="193"/>
      <c r="N313" s="6"/>
      <c r="O313" s="6"/>
      <c r="P313" s="6"/>
      <c r="Q313" s="6"/>
      <c r="R313" s="6"/>
      <c r="S313" s="6"/>
    </row>
    <row r="314" spans="1:19" ht="20.25">
      <c r="A314" s="184"/>
      <c r="B314" s="182"/>
      <c r="D314" s="187"/>
      <c r="E314" s="181" t="str">
        <f>+E4</f>
        <v>WESTAR ENERGY, INC.</v>
      </c>
      <c r="F314" s="187"/>
      <c r="G314" s="187"/>
      <c r="H314" s="187"/>
      <c r="I314" s="252"/>
      <c r="J314" s="258" t="s">
        <v>388</v>
      </c>
      <c r="K314" s="187"/>
      <c r="L314" s="182"/>
      <c r="M314" s="193"/>
      <c r="N314" s="6"/>
      <c r="O314" s="6"/>
      <c r="P314" s="6"/>
      <c r="Q314" s="6"/>
      <c r="R314" s="6"/>
      <c r="S314" s="6"/>
    </row>
    <row r="315" spans="1:19" ht="20.25">
      <c r="A315" s="184"/>
      <c r="B315" s="182"/>
      <c r="D315" s="187"/>
      <c r="E315" s="181" t="str">
        <f>+E5</f>
        <v>(WEN)</v>
      </c>
      <c r="F315" s="187"/>
      <c r="G315" s="187"/>
      <c r="H315" s="187"/>
      <c r="I315" s="252"/>
      <c r="J315" s="259"/>
      <c r="K315" s="187"/>
      <c r="L315" s="182"/>
      <c r="M315" s="193"/>
      <c r="N315" s="6"/>
      <c r="O315" s="6"/>
      <c r="P315" s="6"/>
      <c r="Q315" s="6"/>
      <c r="R315" s="6"/>
      <c r="S315" s="6"/>
    </row>
    <row r="316" spans="1:19" ht="20.25">
      <c r="A316" s="184"/>
      <c r="B316" s="182"/>
      <c r="D316" s="187"/>
      <c r="E316" s="281"/>
      <c r="F316" s="187"/>
      <c r="G316" s="187"/>
      <c r="H316" s="187"/>
      <c r="I316" s="252"/>
      <c r="J316" s="259"/>
      <c r="K316" s="187"/>
      <c r="L316" s="182"/>
      <c r="M316" s="193"/>
      <c r="N316" s="6"/>
      <c r="O316" s="6"/>
      <c r="P316" s="6"/>
      <c r="Q316" s="6"/>
      <c r="R316" s="6"/>
      <c r="S316" s="6"/>
    </row>
    <row r="317" spans="1:19" ht="20.25">
      <c r="A317" s="184"/>
      <c r="B317" s="182"/>
      <c r="C317" s="186"/>
      <c r="D317" s="187"/>
      <c r="E317" s="281" t="s">
        <v>347</v>
      </c>
      <c r="F317" s="182"/>
      <c r="G317" s="182"/>
      <c r="H317" s="182"/>
      <c r="I317" s="182"/>
      <c r="K317" s="182"/>
      <c r="L317" s="192"/>
      <c r="M317" s="193"/>
      <c r="N317" s="6"/>
      <c r="O317" s="6"/>
      <c r="P317" s="6"/>
      <c r="Q317" s="6"/>
      <c r="R317" s="6"/>
      <c r="S317" s="6"/>
    </row>
    <row r="318" spans="1:19" ht="33">
      <c r="A318" s="211" t="s">
        <v>328</v>
      </c>
      <c r="B318" s="223"/>
      <c r="C318" s="186"/>
      <c r="D318" s="187"/>
      <c r="E318" s="187"/>
      <c r="F318" s="182"/>
      <c r="G318" s="182"/>
      <c r="H318" s="182"/>
      <c r="I318" s="182"/>
      <c r="J318" s="182"/>
      <c r="K318" s="182"/>
      <c r="L318" s="192"/>
      <c r="M318" s="193"/>
      <c r="N318" s="6"/>
      <c r="O318" s="6"/>
      <c r="P318" s="6"/>
      <c r="Q318" s="6"/>
      <c r="R318" s="6"/>
      <c r="S318" s="6"/>
    </row>
    <row r="319" spans="1:19" ht="54" customHeight="1">
      <c r="A319" s="189"/>
      <c r="B319" s="211"/>
      <c r="C319" s="231" t="s">
        <v>2</v>
      </c>
      <c r="D319" s="187"/>
      <c r="E319" s="187"/>
      <c r="F319" s="182"/>
      <c r="G319" s="182"/>
      <c r="H319" s="207" t="s">
        <v>321</v>
      </c>
      <c r="I319" s="182"/>
      <c r="J319" s="206"/>
      <c r="K319" s="206"/>
      <c r="L319" s="211"/>
      <c r="M319" s="193"/>
      <c r="N319" s="6"/>
      <c r="O319" s="6"/>
      <c r="P319" s="207"/>
      <c r="Q319" s="6"/>
      <c r="R319" s="6"/>
      <c r="S319" s="6"/>
    </row>
    <row r="320" spans="2:19" ht="20.25">
      <c r="B320" s="182"/>
      <c r="C320" s="191" t="s">
        <v>331</v>
      </c>
      <c r="D320" s="182"/>
      <c r="E320" s="182" t="s">
        <v>342</v>
      </c>
      <c r="F320" s="182"/>
      <c r="G320" s="182"/>
      <c r="H320" s="182"/>
      <c r="I320" s="182"/>
      <c r="J320" s="182"/>
      <c r="K320" s="182"/>
      <c r="L320" s="182"/>
      <c r="M320" s="193"/>
      <c r="N320" s="6"/>
      <c r="O320" s="6"/>
      <c r="P320" s="6"/>
      <c r="Q320" s="6"/>
      <c r="R320" s="6"/>
      <c r="S320" s="6"/>
    </row>
    <row r="321" spans="3:19" ht="20.25">
      <c r="C321" s="199" t="s">
        <v>155</v>
      </c>
      <c r="E321" s="6"/>
      <c r="F321" s="6"/>
      <c r="G321" s="6"/>
      <c r="H321" s="190" t="s">
        <v>2</v>
      </c>
      <c r="I321" s="6"/>
      <c r="J321" s="6"/>
      <c r="K321" s="6"/>
      <c r="L321" s="182"/>
      <c r="M321" s="193"/>
      <c r="N321" s="6"/>
      <c r="O321" s="6"/>
      <c r="P321" s="6"/>
      <c r="Q321" s="6"/>
      <c r="R321" s="6"/>
      <c r="S321" s="6"/>
    </row>
    <row r="322" spans="2:19" ht="20.25">
      <c r="B322" s="188" t="s">
        <v>2</v>
      </c>
      <c r="C322" s="199" t="s">
        <v>376</v>
      </c>
      <c r="D322" s="183"/>
      <c r="F322" s="200"/>
      <c r="G322" s="200"/>
      <c r="H322" s="256">
        <f>545413.96+47566.88+5434.69+50285.83+2318781.72+1689740.28+172378.74</f>
        <v>4829602.100000001</v>
      </c>
      <c r="I322" s="200"/>
      <c r="K322" s="6"/>
      <c r="L322" s="182"/>
      <c r="M322" s="193"/>
      <c r="N322" s="6"/>
      <c r="O322" s="6"/>
      <c r="P322" s="6"/>
      <c r="Q322" s="6"/>
      <c r="R322" s="6"/>
      <c r="S322" s="6"/>
    </row>
    <row r="323" spans="2:19" ht="20.25">
      <c r="B323" s="188"/>
      <c r="C323" s="232" t="s">
        <v>343</v>
      </c>
      <c r="D323" s="183"/>
      <c r="F323" s="200"/>
      <c r="G323" s="200"/>
      <c r="I323" s="200"/>
      <c r="J323" s="256"/>
      <c r="K323" s="6"/>
      <c r="L323" s="182"/>
      <c r="M323" s="193"/>
      <c r="N323" s="6"/>
      <c r="O323" s="6"/>
      <c r="P323" s="6"/>
      <c r="Q323" s="6"/>
      <c r="R323" s="6"/>
      <c r="S323" s="6"/>
    </row>
    <row r="324" spans="2:19" ht="20.25">
      <c r="B324" s="188"/>
      <c r="C324" s="197" t="s">
        <v>394</v>
      </c>
      <c r="D324" s="183"/>
      <c r="F324" s="200"/>
      <c r="G324" s="200"/>
      <c r="H324" s="256">
        <f>+E332</f>
        <v>645457.8531999999</v>
      </c>
      <c r="I324" s="200"/>
      <c r="J324" s="256"/>
      <c r="K324" s="6"/>
      <c r="L324" s="182"/>
      <c r="M324" s="193"/>
      <c r="N324" s="6"/>
      <c r="O324" s="6"/>
      <c r="P324" s="6"/>
      <c r="Q324" s="6"/>
      <c r="R324" s="6"/>
      <c r="S324" s="6"/>
    </row>
    <row r="325" spans="2:19" ht="20.25">
      <c r="B325" s="188"/>
      <c r="C325" s="199" t="s">
        <v>442</v>
      </c>
      <c r="D325" s="183"/>
      <c r="F325" s="200"/>
      <c r="G325" s="200"/>
      <c r="H325" s="267">
        <v>172378.74</v>
      </c>
      <c r="I325" s="200"/>
      <c r="J325" s="256"/>
      <c r="K325" s="6"/>
      <c r="L325" s="182"/>
      <c r="M325" s="193"/>
      <c r="N325" s="6"/>
      <c r="O325" s="6"/>
      <c r="P325" s="6"/>
      <c r="Q325" s="6"/>
      <c r="R325" s="6"/>
      <c r="S325" s="6"/>
    </row>
    <row r="326" spans="2:19" ht="20.25">
      <c r="B326" s="188"/>
      <c r="C326" s="199"/>
      <c r="D326" s="183"/>
      <c r="F326" s="200"/>
      <c r="G326" s="200"/>
      <c r="H326" s="256"/>
      <c r="I326" s="200"/>
      <c r="J326" s="256"/>
      <c r="K326" s="6"/>
      <c r="L326" s="182"/>
      <c r="M326" s="193"/>
      <c r="N326" s="6"/>
      <c r="O326" s="6"/>
      <c r="P326" s="6"/>
      <c r="Q326" s="6"/>
      <c r="R326" s="6"/>
      <c r="S326" s="6"/>
    </row>
    <row r="327" spans="2:19" ht="20.25">
      <c r="B327" s="188"/>
      <c r="C327" s="199" t="s">
        <v>375</v>
      </c>
      <c r="D327" s="183"/>
      <c r="F327" s="200"/>
      <c r="G327" s="200"/>
      <c r="H327" s="324">
        <f>+H322-H324-H325</f>
        <v>4011765.5068000006</v>
      </c>
      <c r="I327" s="200"/>
      <c r="J327" s="256"/>
      <c r="K327" s="6"/>
      <c r="L327" s="182"/>
      <c r="M327" s="193"/>
      <c r="N327" s="6"/>
      <c r="O327" s="6"/>
      <c r="P327" s="6"/>
      <c r="Q327" s="6"/>
      <c r="R327" s="6"/>
      <c r="S327" s="6"/>
    </row>
    <row r="328" spans="2:19" ht="20.25">
      <c r="B328" s="188"/>
      <c r="I328" s="200"/>
      <c r="K328" s="6"/>
      <c r="L328" s="182"/>
      <c r="M328" s="193"/>
      <c r="N328" s="6"/>
      <c r="O328" s="6"/>
      <c r="P328" s="6"/>
      <c r="Q328" s="6"/>
      <c r="R328" s="6"/>
      <c r="S328" s="6"/>
    </row>
    <row r="329" spans="2:19" ht="20.25">
      <c r="B329" s="188"/>
      <c r="C329" s="197" t="s">
        <v>389</v>
      </c>
      <c r="D329" s="183"/>
      <c r="F329" s="200"/>
      <c r="G329" s="200"/>
      <c r="H329" s="256"/>
      <c r="I329" s="200"/>
      <c r="K329" s="6"/>
      <c r="L329" s="182"/>
      <c r="M329" s="193"/>
      <c r="N329" s="6"/>
      <c r="O329" s="6"/>
      <c r="P329" s="6"/>
      <c r="Q329" s="6"/>
      <c r="R329" s="6"/>
      <c r="S329" s="6"/>
    </row>
    <row r="330" spans="2:19" ht="20.25">
      <c r="B330" s="188"/>
      <c r="C330" s="204" t="s">
        <v>390</v>
      </c>
      <c r="D330" s="183"/>
      <c r="E330" s="201">
        <f>545413.96+47566.88+5434.69+50285.83</f>
        <v>648701.3599999999</v>
      </c>
      <c r="F330" s="200"/>
      <c r="G330" s="200"/>
      <c r="H330" s="256"/>
      <c r="I330" s="200"/>
      <c r="K330" s="6"/>
      <c r="L330" s="182"/>
      <c r="M330" s="193"/>
      <c r="N330" s="6"/>
      <c r="O330" s="6"/>
      <c r="P330" s="6"/>
      <c r="Q330" s="6"/>
      <c r="R330" s="6"/>
      <c r="S330" s="6"/>
    </row>
    <row r="331" spans="2:19" ht="20.25">
      <c r="B331" s="188"/>
      <c r="C331" s="197" t="s">
        <v>391</v>
      </c>
      <c r="D331" s="183"/>
      <c r="E331" s="253">
        <v>0.995</v>
      </c>
      <c r="F331" s="200"/>
      <c r="G331" s="200"/>
      <c r="H331" s="256" t="s">
        <v>2</v>
      </c>
      <c r="I331" s="200"/>
      <c r="K331" s="6"/>
      <c r="L331" s="182"/>
      <c r="M331" s="193"/>
      <c r="N331" s="6"/>
      <c r="O331" s="6"/>
      <c r="P331" s="6"/>
      <c r="Q331" s="6"/>
      <c r="R331" s="6"/>
      <c r="S331" s="6"/>
    </row>
    <row r="332" spans="2:19" ht="20.25">
      <c r="B332" s="188"/>
      <c r="C332" s="197" t="s">
        <v>392</v>
      </c>
      <c r="D332" s="183"/>
      <c r="E332" s="226">
        <f>+E330*E331</f>
        <v>645457.8531999999</v>
      </c>
      <c r="F332" s="200"/>
      <c r="G332" s="200"/>
      <c r="H332" s="256"/>
      <c r="I332" s="200"/>
      <c r="K332" s="6"/>
      <c r="L332" s="182"/>
      <c r="M332" s="193"/>
      <c r="N332" s="6"/>
      <c r="O332" s="6"/>
      <c r="P332" s="6"/>
      <c r="Q332" s="6"/>
      <c r="R332" s="6"/>
      <c r="S332" s="6"/>
    </row>
    <row r="333" spans="2:19" ht="20.25">
      <c r="B333" s="188"/>
      <c r="C333" s="232"/>
      <c r="D333" s="183"/>
      <c r="F333" s="200"/>
      <c r="G333" s="200"/>
      <c r="H333" s="256"/>
      <c r="I333" s="200"/>
      <c r="K333" s="6"/>
      <c r="L333" s="182"/>
      <c r="M333" s="193"/>
      <c r="N333" s="6"/>
      <c r="O333" s="6"/>
      <c r="P333" s="6"/>
      <c r="Q333" s="6"/>
      <c r="R333" s="6"/>
      <c r="S333" s="6"/>
    </row>
    <row r="334" spans="2:19" ht="21" thickBot="1">
      <c r="B334" s="188"/>
      <c r="C334" s="199"/>
      <c r="D334" s="183"/>
      <c r="E334" s="255" t="s">
        <v>386</v>
      </c>
      <c r="F334" s="235" t="s">
        <v>327</v>
      </c>
      <c r="G334" s="200"/>
      <c r="H334" s="225" t="s">
        <v>2</v>
      </c>
      <c r="I334" s="200"/>
      <c r="K334" s="6"/>
      <c r="L334" s="182"/>
      <c r="M334" s="193"/>
      <c r="N334" s="6"/>
      <c r="O334" s="6"/>
      <c r="P334" s="6"/>
      <c r="Q334" s="6"/>
      <c r="R334" s="6"/>
      <c r="S334" s="6"/>
    </row>
    <row r="335" spans="2:19" ht="20.25">
      <c r="B335" s="188"/>
      <c r="C335" s="199"/>
      <c r="D335" s="183" t="s">
        <v>38</v>
      </c>
      <c r="E335" s="190">
        <v>630</v>
      </c>
      <c r="F335" s="233">
        <f>+E335/E337</f>
        <v>0.005030743432084964</v>
      </c>
      <c r="G335" s="200"/>
      <c r="H335" s="225"/>
      <c r="I335" s="200"/>
      <c r="K335" s="6"/>
      <c r="L335" s="182"/>
      <c r="M335" s="193"/>
      <c r="N335" s="6"/>
      <c r="O335" s="6"/>
      <c r="P335" s="6"/>
      <c r="Q335" s="6"/>
      <c r="R335" s="6"/>
      <c r="S335" s="6"/>
    </row>
    <row r="336" spans="3:19" ht="21" thickBot="1">
      <c r="C336" s="196"/>
      <c r="D336" s="197" t="s">
        <v>344</v>
      </c>
      <c r="E336" s="236">
        <v>124600</v>
      </c>
      <c r="F336" s="234">
        <f>+E336/E337</f>
        <v>0.994969256567915</v>
      </c>
      <c r="G336" s="197"/>
      <c r="H336" s="197"/>
      <c r="I336" s="197"/>
      <c r="J336" s="197"/>
      <c r="K336" s="197"/>
      <c r="L336" s="182"/>
      <c r="M336" s="193"/>
      <c r="N336" s="6"/>
      <c r="O336" s="6"/>
      <c r="P336" s="6"/>
      <c r="Q336" s="6"/>
      <c r="R336" s="6"/>
      <c r="S336" s="6"/>
    </row>
    <row r="337" spans="3:19" ht="20.25">
      <c r="C337" s="197"/>
      <c r="D337" s="197" t="s">
        <v>9</v>
      </c>
      <c r="E337" s="208">
        <f>SUM(E335:E336)</f>
        <v>125230</v>
      </c>
      <c r="F337" s="227">
        <f>SUM(F335:F336)</f>
        <v>1</v>
      </c>
      <c r="G337" s="197"/>
      <c r="H337" s="197"/>
      <c r="I337" s="197"/>
      <c r="J337" s="197"/>
      <c r="K337" s="197"/>
      <c r="L337" s="182"/>
      <c r="M337" s="193"/>
      <c r="N337" s="6"/>
      <c r="O337" s="6"/>
      <c r="P337" s="6"/>
      <c r="Q337" s="6"/>
      <c r="R337" s="6"/>
      <c r="S337" s="6"/>
    </row>
    <row r="338" spans="3:19" ht="20.25">
      <c r="C338" s="197"/>
      <c r="D338" s="197"/>
      <c r="E338" s="208"/>
      <c r="F338" s="227"/>
      <c r="G338" s="197"/>
      <c r="H338" s="197"/>
      <c r="I338" s="197"/>
      <c r="J338" s="197"/>
      <c r="K338" s="197"/>
      <c r="L338" s="182"/>
      <c r="M338" s="193"/>
      <c r="N338" s="6"/>
      <c r="O338" s="6"/>
      <c r="P338" s="6"/>
      <c r="Q338" s="6"/>
      <c r="R338" s="6"/>
      <c r="S338" s="6"/>
    </row>
    <row r="339" spans="3:19" ht="20.25">
      <c r="C339" s="199" t="s">
        <v>353</v>
      </c>
      <c r="D339" s="183"/>
      <c r="F339" s="200"/>
      <c r="G339" s="200"/>
      <c r="H339" s="225"/>
      <c r="I339" s="200"/>
      <c r="K339" s="197"/>
      <c r="L339" s="182"/>
      <c r="M339" s="193"/>
      <c r="N339" s="6"/>
      <c r="O339" s="6"/>
      <c r="P339" s="6"/>
      <c r="Q339" s="6"/>
      <c r="R339" s="6"/>
      <c r="S339" s="6"/>
    </row>
    <row r="340" spans="3:19" ht="20.25">
      <c r="C340" s="197"/>
      <c r="D340" s="197"/>
      <c r="E340" s="197"/>
      <c r="F340" s="197"/>
      <c r="G340" s="197"/>
      <c r="H340" s="197"/>
      <c r="I340" s="197"/>
      <c r="J340" s="197"/>
      <c r="K340" s="197"/>
      <c r="L340" s="182"/>
      <c r="M340" s="193"/>
      <c r="N340" s="6"/>
      <c r="O340" s="6"/>
      <c r="P340" s="6"/>
      <c r="Q340" s="6"/>
      <c r="R340" s="6"/>
      <c r="S340" s="6"/>
    </row>
    <row r="341" spans="3:19" ht="20.25">
      <c r="C341" s="197" t="s">
        <v>345</v>
      </c>
      <c r="D341" s="197"/>
      <c r="E341" s="197"/>
      <c r="F341" s="197"/>
      <c r="G341" s="197"/>
      <c r="H341" s="197"/>
      <c r="I341" s="197"/>
      <c r="J341" s="197"/>
      <c r="K341" s="197"/>
      <c r="L341" s="182"/>
      <c r="M341" s="193"/>
      <c r="N341" s="6"/>
      <c r="O341" s="6"/>
      <c r="P341" s="6"/>
      <c r="Q341" s="6"/>
      <c r="R341" s="6"/>
      <c r="S341" s="6"/>
    </row>
    <row r="342" spans="3:19" ht="20.25">
      <c r="C342" s="197" t="s">
        <v>348</v>
      </c>
      <c r="D342" s="197"/>
      <c r="E342" s="197"/>
      <c r="F342" s="197"/>
      <c r="G342" s="197"/>
      <c r="H342" s="197"/>
      <c r="I342" s="197"/>
      <c r="J342" s="197"/>
      <c r="K342" s="197"/>
      <c r="L342" s="182"/>
      <c r="M342" s="193"/>
      <c r="N342" s="6"/>
      <c r="O342" s="6"/>
      <c r="P342" s="6"/>
      <c r="Q342" s="6"/>
      <c r="R342" s="6"/>
      <c r="S342" s="6"/>
    </row>
    <row r="343" spans="3:19" ht="20.25">
      <c r="C343" s="197"/>
      <c r="D343" s="197"/>
      <c r="E343" s="197"/>
      <c r="F343" s="197"/>
      <c r="G343" s="197"/>
      <c r="H343" s="197"/>
      <c r="I343" s="197"/>
      <c r="J343" s="197"/>
      <c r="K343" s="197"/>
      <c r="L343" s="182"/>
      <c r="M343" s="193"/>
      <c r="N343" s="6"/>
      <c r="O343" s="6"/>
      <c r="P343" s="6"/>
      <c r="Q343" s="6"/>
      <c r="R343" s="6"/>
      <c r="S343" s="6"/>
    </row>
    <row r="344" spans="3:19" ht="20.25">
      <c r="C344" s="197"/>
      <c r="D344" s="197"/>
      <c r="E344" s="197"/>
      <c r="F344" s="197"/>
      <c r="G344" s="197"/>
      <c r="H344" s="197"/>
      <c r="I344" s="197"/>
      <c r="J344" s="197"/>
      <c r="K344" s="197"/>
      <c r="L344" s="182"/>
      <c r="M344" s="193"/>
      <c r="N344" s="6"/>
      <c r="O344" s="6"/>
      <c r="P344" s="6"/>
      <c r="Q344" s="6"/>
      <c r="R344" s="6"/>
      <c r="S344" s="6"/>
    </row>
    <row r="345" spans="3:19" ht="20.25">
      <c r="C345" s="203" t="s">
        <v>329</v>
      </c>
      <c r="D345" s="182" t="s">
        <v>332</v>
      </c>
      <c r="I345" s="197"/>
      <c r="J345" s="197"/>
      <c r="K345" s="197"/>
      <c r="L345" s="182"/>
      <c r="M345" s="193"/>
      <c r="N345" s="6"/>
      <c r="O345" s="6"/>
      <c r="P345" s="6"/>
      <c r="Q345" s="6"/>
      <c r="R345" s="6"/>
      <c r="S345" s="6"/>
    </row>
    <row r="346" spans="1:19" ht="20.25">
      <c r="A346" s="213" t="s">
        <v>69</v>
      </c>
      <c r="B346" s="183"/>
      <c r="C346" s="197" t="s">
        <v>357</v>
      </c>
      <c r="D346" s="204"/>
      <c r="G346" s="180"/>
      <c r="H346" s="321">
        <v>51636926</v>
      </c>
      <c r="I346" s="197"/>
      <c r="J346" s="197"/>
      <c r="K346" s="197"/>
      <c r="L346" s="182"/>
      <c r="M346" s="193"/>
      <c r="N346" s="6"/>
      <c r="O346" s="6"/>
      <c r="P346" s="6"/>
      <c r="Q346" s="6"/>
      <c r="R346" s="6"/>
      <c r="S346" s="6"/>
    </row>
    <row r="347" spans="1:19" ht="20.25">
      <c r="A347" s="213" t="s">
        <v>2</v>
      </c>
      <c r="B347" s="183"/>
      <c r="C347" s="204" t="s">
        <v>324</v>
      </c>
      <c r="D347" s="197"/>
      <c r="H347" s="209"/>
      <c r="I347" s="197"/>
      <c r="J347" s="197"/>
      <c r="K347" s="197"/>
      <c r="L347" s="182"/>
      <c r="M347" s="193"/>
      <c r="N347" s="6"/>
      <c r="O347" s="6"/>
      <c r="P347" s="6"/>
      <c r="Q347" s="6"/>
      <c r="R347" s="6"/>
      <c r="S347" s="6"/>
    </row>
    <row r="348" spans="1:19" ht="20.25">
      <c r="A348" s="213"/>
      <c r="B348" s="183"/>
      <c r="C348" s="197" t="s">
        <v>508</v>
      </c>
      <c r="D348" s="197"/>
      <c r="H348" s="321">
        <v>5007447</v>
      </c>
      <c r="I348" s="197"/>
      <c r="J348" s="197"/>
      <c r="K348" s="197"/>
      <c r="L348" s="182"/>
      <c r="M348" s="193"/>
      <c r="N348" s="6"/>
      <c r="O348" s="6"/>
      <c r="P348" s="6"/>
      <c r="Q348" s="6"/>
      <c r="R348" s="6"/>
      <c r="S348" s="6"/>
    </row>
    <row r="349" spans="2:19" ht="20.25">
      <c r="B349" s="183" t="s">
        <v>2</v>
      </c>
      <c r="C349" s="197" t="s">
        <v>340</v>
      </c>
      <c r="D349" s="197"/>
      <c r="H349" s="210">
        <f>+H346-H348</f>
        <v>46629479</v>
      </c>
      <c r="I349" s="197"/>
      <c r="J349" s="197"/>
      <c r="K349" s="197"/>
      <c r="L349" s="182"/>
      <c r="M349" s="193"/>
      <c r="N349" s="6"/>
      <c r="O349" s="6"/>
      <c r="P349" s="6"/>
      <c r="Q349" s="6"/>
      <c r="R349" s="6"/>
      <c r="S349" s="6"/>
    </row>
    <row r="350" spans="2:19" ht="20.25">
      <c r="B350" s="183"/>
      <c r="C350" s="197"/>
      <c r="D350" s="197"/>
      <c r="H350" s="215"/>
      <c r="I350" s="197"/>
      <c r="J350" s="197"/>
      <c r="K350" s="197"/>
      <c r="L350" s="182"/>
      <c r="M350" s="193"/>
      <c r="N350" s="6"/>
      <c r="O350" s="6"/>
      <c r="P350" s="6"/>
      <c r="Q350" s="6"/>
      <c r="R350" s="6"/>
      <c r="S350" s="6"/>
    </row>
    <row r="351" spans="1:19" ht="20.25">
      <c r="A351" s="182" t="s">
        <v>78</v>
      </c>
      <c r="C351" s="271" t="s">
        <v>77</v>
      </c>
      <c r="D351" s="272" t="s">
        <v>2</v>
      </c>
      <c r="E351" s="190"/>
      <c r="F351" s="197"/>
      <c r="G351" s="197"/>
      <c r="H351" s="197"/>
      <c r="I351" s="197"/>
      <c r="J351" s="197"/>
      <c r="K351" s="197"/>
      <c r="L351" s="182"/>
      <c r="M351" s="193"/>
      <c r="N351" s="6"/>
      <c r="O351" s="6"/>
      <c r="P351" s="6"/>
      <c r="Q351" s="6"/>
      <c r="R351" s="6"/>
      <c r="S351" s="6"/>
    </row>
    <row r="352" spans="3:19" ht="20.25">
      <c r="C352" s="193" t="s">
        <v>445</v>
      </c>
      <c r="D352" s="190" t="s">
        <v>2</v>
      </c>
      <c r="E352" s="182"/>
      <c r="F352" s="197"/>
      <c r="G352" s="197"/>
      <c r="H352" s="208">
        <v>48533761</v>
      </c>
      <c r="I352" s="197"/>
      <c r="J352" s="197"/>
      <c r="K352" s="197"/>
      <c r="L352" s="182"/>
      <c r="M352" s="193"/>
      <c r="N352" s="6"/>
      <c r="O352" s="6"/>
      <c r="P352" s="6"/>
      <c r="Q352" s="6"/>
      <c r="R352" s="6"/>
      <c r="S352" s="6"/>
    </row>
    <row r="353" spans="3:19" ht="20.25">
      <c r="C353" s="192" t="s">
        <v>349</v>
      </c>
      <c r="D353" s="21"/>
      <c r="F353" s="197"/>
      <c r="G353" s="197"/>
      <c r="H353" s="270"/>
      <c r="I353" s="197"/>
      <c r="J353" s="197"/>
      <c r="K353" s="197"/>
      <c r="L353" s="182"/>
      <c r="M353" s="193"/>
      <c r="N353" s="6"/>
      <c r="O353" s="6"/>
      <c r="P353" s="6"/>
      <c r="Q353" s="6"/>
      <c r="R353" s="6"/>
      <c r="S353" s="6"/>
    </row>
    <row r="354" spans="3:19" ht="20.25">
      <c r="C354" s="190" t="s">
        <v>447</v>
      </c>
      <c r="F354" s="197"/>
      <c r="G354" s="197"/>
      <c r="H354" s="190">
        <f>4380876.07/2</f>
        <v>2190438.035</v>
      </c>
      <c r="I354" s="197"/>
      <c r="J354" s="197"/>
      <c r="K354" s="197"/>
      <c r="L354" s="182"/>
      <c r="M354" s="193"/>
      <c r="N354" s="6"/>
      <c r="O354" s="6"/>
      <c r="P354" s="6"/>
      <c r="Q354" s="6"/>
      <c r="R354" s="6"/>
      <c r="S354" s="6"/>
    </row>
    <row r="355" spans="3:19" ht="20.25">
      <c r="C355" s="197" t="s">
        <v>446</v>
      </c>
      <c r="D355" s="197"/>
      <c r="E355" s="197"/>
      <c r="F355" s="197"/>
      <c r="G355" s="197"/>
      <c r="H355" s="273">
        <f>+H352-H354</f>
        <v>46343322.965</v>
      </c>
      <c r="I355" s="197"/>
      <c r="J355" s="197"/>
      <c r="K355" s="197"/>
      <c r="L355" s="182"/>
      <c r="M355" s="193"/>
      <c r="N355" s="6"/>
      <c r="O355" s="6"/>
      <c r="P355" s="6"/>
      <c r="Q355" s="6"/>
      <c r="R355" s="6"/>
      <c r="S355" s="6"/>
    </row>
    <row r="356" spans="1:19" ht="20.25">
      <c r="A356" s="184"/>
      <c r="C356" s="197"/>
      <c r="D356" s="197"/>
      <c r="E356" s="197"/>
      <c r="F356" s="197"/>
      <c r="G356" s="197"/>
      <c r="H356" s="197"/>
      <c r="I356" s="197"/>
      <c r="J356" s="197"/>
      <c r="K356" s="197"/>
      <c r="L356" s="182"/>
      <c r="M356" s="193"/>
      <c r="N356" s="6"/>
      <c r="O356" s="6"/>
      <c r="P356" s="6"/>
      <c r="Q356" s="6"/>
      <c r="R356" s="6"/>
      <c r="S356" s="6"/>
    </row>
    <row r="357" spans="1:19" ht="20.25">
      <c r="A357" s="184"/>
      <c r="B357" s="182"/>
      <c r="C357" s="186" t="s">
        <v>2</v>
      </c>
      <c r="D357" s="187"/>
      <c r="E357" s="187"/>
      <c r="F357" s="182"/>
      <c r="G357" s="182"/>
      <c r="H357" s="182"/>
      <c r="I357" s="182"/>
      <c r="J357" s="182"/>
      <c r="K357" s="182"/>
      <c r="L357" s="192"/>
      <c r="M357" s="193"/>
      <c r="N357" s="6"/>
      <c r="O357" s="6"/>
      <c r="P357" s="6"/>
      <c r="Q357" s="6"/>
      <c r="R357" s="6"/>
      <c r="S357" s="6"/>
    </row>
    <row r="358" spans="1:19" ht="20.25">
      <c r="A358" s="184"/>
      <c r="B358" s="182"/>
      <c r="C358" s="192" t="s">
        <v>330</v>
      </c>
      <c r="D358" s="192" t="s">
        <v>2</v>
      </c>
      <c r="E358" s="182"/>
      <c r="F358" s="182"/>
      <c r="G358" s="182"/>
      <c r="H358" s="182"/>
      <c r="I358" s="182"/>
      <c r="J358" s="182"/>
      <c r="K358" s="182"/>
      <c r="L358" s="182"/>
      <c r="M358" s="193"/>
      <c r="N358" s="6"/>
      <c r="O358" s="6"/>
      <c r="P358" s="6"/>
      <c r="Q358" s="6"/>
      <c r="R358" s="6"/>
      <c r="S358" s="6"/>
    </row>
    <row r="359" spans="1:19" ht="20.25">
      <c r="A359" s="184" t="s">
        <v>351</v>
      </c>
      <c r="B359" s="182"/>
      <c r="C359" s="182" t="s">
        <v>333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93"/>
      <c r="N359" s="6"/>
      <c r="O359" s="6"/>
      <c r="P359" s="6"/>
      <c r="Q359" s="6"/>
      <c r="R359" s="6"/>
      <c r="S359" s="6"/>
    </row>
    <row r="360" spans="1:19" ht="20.25">
      <c r="A360" s="184"/>
      <c r="B360" s="182"/>
      <c r="C360" s="182" t="s">
        <v>444</v>
      </c>
      <c r="D360" s="182"/>
      <c r="F360" s="182"/>
      <c r="G360" s="182"/>
      <c r="H360" s="229">
        <v>-737931022</v>
      </c>
      <c r="I360" s="182"/>
      <c r="J360" s="182"/>
      <c r="K360" s="182"/>
      <c r="L360" s="182"/>
      <c r="M360" s="193"/>
      <c r="N360" s="6"/>
      <c r="O360" s="6"/>
      <c r="P360" s="6"/>
      <c r="Q360" s="6"/>
      <c r="R360" s="6"/>
      <c r="S360" s="6"/>
    </row>
    <row r="361" spans="1:19" ht="20.25">
      <c r="A361" s="184"/>
      <c r="B361" s="182"/>
      <c r="C361" s="192" t="s">
        <v>349</v>
      </c>
      <c r="D361" s="182"/>
      <c r="F361" s="182"/>
      <c r="G361" s="182"/>
      <c r="H361" s="229"/>
      <c r="I361" s="182"/>
      <c r="J361" s="182"/>
      <c r="K361" s="182"/>
      <c r="L361" s="182"/>
      <c r="M361" s="193"/>
      <c r="N361" s="6"/>
      <c r="O361" s="6"/>
      <c r="P361" s="6"/>
      <c r="Q361" s="6"/>
      <c r="R361" s="6"/>
      <c r="S361" s="6"/>
    </row>
    <row r="362" spans="2:19" ht="20.25">
      <c r="B362" s="182"/>
      <c r="C362" s="182" t="s">
        <v>352</v>
      </c>
      <c r="D362" s="182"/>
      <c r="E362" s="182"/>
      <c r="F362" s="182"/>
      <c r="G362" s="182"/>
      <c r="H362" s="229">
        <v>737931022</v>
      </c>
      <c r="I362" s="182"/>
      <c r="J362" s="182"/>
      <c r="K362" s="182"/>
      <c r="L362" s="182"/>
      <c r="M362" s="193"/>
      <c r="N362" s="6"/>
      <c r="O362" s="6"/>
      <c r="P362" s="6"/>
      <c r="Q362" s="6"/>
      <c r="R362" s="6"/>
      <c r="S362" s="6"/>
    </row>
    <row r="363" spans="3:19" ht="20.25">
      <c r="C363" s="182" t="s">
        <v>350</v>
      </c>
      <c r="H363" s="323">
        <f>+H360+H362</f>
        <v>0</v>
      </c>
      <c r="K363" s="217"/>
      <c r="L363" s="217"/>
      <c r="M363" s="217"/>
      <c r="N363" s="6"/>
      <c r="O363" s="6"/>
      <c r="P363" s="6"/>
      <c r="Q363" s="6"/>
      <c r="R363" s="6"/>
      <c r="S363" s="6"/>
    </row>
    <row r="364" spans="8:19" ht="15">
      <c r="H364" s="230"/>
      <c r="K364" s="217"/>
      <c r="L364" s="217"/>
      <c r="M364" s="217"/>
      <c r="N364" s="6"/>
      <c r="O364" s="6"/>
      <c r="P364" s="6"/>
      <c r="Q364" s="6"/>
      <c r="R364" s="6"/>
      <c r="S364" s="6"/>
    </row>
    <row r="365" spans="11:19" ht="15">
      <c r="K365" s="217"/>
      <c r="L365" s="217"/>
      <c r="M365" s="217"/>
      <c r="N365" s="6"/>
      <c r="O365" s="6"/>
      <c r="P365" s="6"/>
      <c r="Q365" s="6"/>
      <c r="R365" s="6"/>
      <c r="S365" s="6"/>
    </row>
    <row r="366" spans="11:19" ht="15">
      <c r="K366" s="217"/>
      <c r="L366" s="217"/>
      <c r="M366" s="217"/>
      <c r="N366" s="6"/>
      <c r="O366" s="6"/>
      <c r="P366" s="6"/>
      <c r="Q366" s="6"/>
      <c r="R366" s="6"/>
      <c r="S366" s="6"/>
    </row>
    <row r="367" spans="12:19" ht="15">
      <c r="L367" s="6"/>
      <c r="M367" s="6"/>
      <c r="N367" s="6"/>
      <c r="O367" s="6"/>
      <c r="P367" s="6"/>
      <c r="Q367" s="6"/>
      <c r="R367" s="6"/>
      <c r="S367" s="6"/>
    </row>
    <row r="368" spans="12:19" ht="15">
      <c r="L368" s="6"/>
      <c r="M368" s="6"/>
      <c r="N368" s="6"/>
      <c r="O368" s="6"/>
      <c r="P368" s="6"/>
      <c r="Q368" s="6"/>
      <c r="R368" s="6"/>
      <c r="S368" s="6"/>
    </row>
    <row r="369" spans="12:19" ht="15">
      <c r="L369" s="6"/>
      <c r="M369" s="6"/>
      <c r="N369" s="6"/>
      <c r="O369" s="6"/>
      <c r="P369" s="6"/>
      <c r="Q369" s="6"/>
      <c r="R369" s="6"/>
      <c r="S369" s="6"/>
    </row>
    <row r="370" spans="12:19" ht="15">
      <c r="L370" s="6"/>
      <c r="M370" s="6"/>
      <c r="N370" s="6"/>
      <c r="O370" s="6"/>
      <c r="P370" s="6"/>
      <c r="Q370" s="6"/>
      <c r="R370" s="6"/>
      <c r="S370" s="6"/>
    </row>
    <row r="371" spans="12:19" ht="15">
      <c r="L371" s="6"/>
      <c r="M371" s="6"/>
      <c r="N371" s="6"/>
      <c r="O371" s="6"/>
      <c r="P371" s="6"/>
      <c r="Q371" s="6"/>
      <c r="R371" s="6"/>
      <c r="S371" s="6"/>
    </row>
    <row r="372" spans="12:19" ht="15">
      <c r="L372" s="6"/>
      <c r="M372" s="6"/>
      <c r="N372" s="6"/>
      <c r="O372" s="6"/>
      <c r="P372" s="6"/>
      <c r="Q372" s="6"/>
      <c r="R372" s="6"/>
      <c r="S372" s="6"/>
    </row>
    <row r="373" spans="12:19" ht="15">
      <c r="L373" s="6"/>
      <c r="M373" s="6"/>
      <c r="N373" s="6"/>
      <c r="O373" s="6"/>
      <c r="P373" s="6"/>
      <c r="Q373" s="6"/>
      <c r="R373" s="6"/>
      <c r="S373" s="6"/>
    </row>
    <row r="374" spans="12:19" ht="15">
      <c r="L374" s="6"/>
      <c r="M374" s="6"/>
      <c r="N374" s="6"/>
      <c r="O374" s="6"/>
      <c r="P374" s="6"/>
      <c r="Q374" s="6"/>
      <c r="R374" s="6"/>
      <c r="S374" s="6"/>
    </row>
    <row r="375" spans="12:19" ht="15">
      <c r="L375" s="6"/>
      <c r="M375" s="6"/>
      <c r="N375" s="6"/>
      <c r="O375" s="6"/>
      <c r="P375" s="6"/>
      <c r="Q375" s="6"/>
      <c r="R375" s="6"/>
      <c r="S375" s="6"/>
    </row>
    <row r="376" spans="3:19" ht="20.25">
      <c r="C376" s="198"/>
      <c r="D376" s="198"/>
      <c r="E376" s="198"/>
      <c r="F376" s="198"/>
      <c r="G376" s="198"/>
      <c r="H376" s="198"/>
      <c r="I376" s="198"/>
      <c r="J376" s="198"/>
      <c r="K376" s="198"/>
      <c r="L376" s="6"/>
      <c r="M376" s="6"/>
      <c r="N376" s="6"/>
      <c r="O376" s="6"/>
      <c r="P376" s="6"/>
      <c r="Q376" s="6"/>
      <c r="R376" s="6"/>
      <c r="S376" s="6"/>
    </row>
    <row r="377" spans="3:19" ht="1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3:19" ht="1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3:19" ht="1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3:19" ht="1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3:19" ht="1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3:19" ht="1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3:19" ht="1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3:19" ht="1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3:19" ht="1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3:19" ht="1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3:19" ht="1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3:19" ht="1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3:19" ht="1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3:19" ht="1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3:19" ht="1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3:19" ht="1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3:19" ht="1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3:19" ht="1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3:19" ht="1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3:19" ht="1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3:19" ht="1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3:19" ht="1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3:19" ht="1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3:19" ht="1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3:19" ht="1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3:19" ht="1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3:19" ht="1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3:19" ht="1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3:19" ht="1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3:19" ht="1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3:19" ht="1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3:19" ht="1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3:19" ht="1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3:19" ht="1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3:19" ht="1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3:19" ht="1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3:19" ht="1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3:19" ht="1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3:19" ht="1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3:19" ht="1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3:19" ht="1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3:19" ht="1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3:19" ht="1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3:19" ht="1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3:19" ht="1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3:19" ht="1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3:19" ht="1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3:19" ht="1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3:19" ht="1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3:19" ht="1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3:19" ht="1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3:19" ht="1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3:19" ht="1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3:19" ht="1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3:19" ht="1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3:19" ht="1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3:19" ht="1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3:19" ht="1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3:19" ht="1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3:19" ht="1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3:19" ht="1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3:19" ht="1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3:19" ht="1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3:19" ht="1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3:19" ht="1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3:19" ht="1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3:19" ht="1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3:19" ht="1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3:19" ht="1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3:19" ht="1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3:19" ht="1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3:19" ht="1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3:19" ht="1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3:19" ht="1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3:19" ht="1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3:19" ht="1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3:19" ht="1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3:19" ht="1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3:19" ht="1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3:19" ht="1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3:19" ht="1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3:19" ht="1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3:19" ht="1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3:19" ht="1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3:19" ht="1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3:19" ht="1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3:19" ht="1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3:19" ht="1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3:19" ht="1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3:19" ht="1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3:19" ht="1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3:19" ht="1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3:19" ht="1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3:19" ht="1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3:19" ht="1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3:19" ht="1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3:19" ht="1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3:19" ht="1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3:19" ht="1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3:19" ht="1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3:19" ht="1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3:19" ht="1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3:19" ht="1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3:19" ht="1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3:19" ht="1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3:19" ht="1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3:19" ht="1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3:19" ht="1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3:19" ht="1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3:19" ht="1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3:19" ht="1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3:19" ht="1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3:19" ht="1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3:19" ht="1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3:19" ht="1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3:19" ht="1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</sheetData>
  <printOptions/>
  <pageMargins left="0.8" right="0.62" top="0.75" bottom="0.5" header="0.5" footer="0.5"/>
  <pageSetup fitToHeight="6" horizontalDpi="300" verticalDpi="300" orientation="portrait" scale="50" r:id="rId1"/>
  <headerFooter alignWithMargins="0">
    <oddHeader>&amp;R&amp;"Arial MT,Bold"Exhibit WEI-4</oddHeader>
  </headerFooter>
  <rowBreaks count="5" manualBreakCount="5">
    <brk id="48" max="255" man="1"/>
    <brk id="102" max="255" man="1"/>
    <brk id="160" max="255" man="1"/>
    <brk id="244" max="255" man="1"/>
    <brk id="309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463"/>
  <sheetViews>
    <sheetView view="pageBreakPreview" zoomScale="60" zoomScaleNormal="60" workbookViewId="0" topLeftCell="A341">
      <selection activeCell="J311" sqref="J311"/>
    </sheetView>
  </sheetViews>
  <sheetFormatPr defaultColWidth="8.88671875" defaultRowHeight="15"/>
  <cols>
    <col min="1" max="1" width="9.21484375" style="0" customWidth="1"/>
    <col min="2" max="2" width="4.4453125" style="0" customWidth="1"/>
    <col min="3" max="3" width="30.6640625" style="0" customWidth="1"/>
    <col min="4" max="4" width="23.4453125" style="0" customWidth="1"/>
    <col min="5" max="5" width="15.5546875" style="0" customWidth="1"/>
    <col min="6" max="6" width="10.6640625" style="0" customWidth="1"/>
    <col min="7" max="7" width="5.6640625" style="0" customWidth="1"/>
    <col min="8" max="8" width="16.3359375" style="0" customWidth="1"/>
    <col min="9" max="9" width="5.77734375" style="0" customWidth="1"/>
    <col min="10" max="10" width="12.77734375" style="0" customWidth="1"/>
    <col min="11" max="11" width="7.5546875" style="0" customWidth="1"/>
    <col min="12" max="12" width="9.10546875" style="0" customWidth="1"/>
    <col min="13" max="13" width="2.99609375" style="0" customWidth="1"/>
    <col min="14" max="14" width="50.21484375" style="0" customWidth="1"/>
    <col min="16" max="16" width="13.10546875" style="0" customWidth="1"/>
  </cols>
  <sheetData>
    <row r="1" spans="3:63" ht="15">
      <c r="C1" s="49" t="s">
        <v>0</v>
      </c>
      <c r="D1" s="49"/>
      <c r="E1" s="50" t="s">
        <v>1</v>
      </c>
      <c r="F1" s="49"/>
      <c r="G1" s="49"/>
      <c r="J1" t="s">
        <v>467</v>
      </c>
      <c r="K1" s="16"/>
      <c r="L1" s="16"/>
      <c r="M1" s="162"/>
      <c r="N1" s="162"/>
      <c r="O1" s="162"/>
      <c r="P1" s="162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</row>
    <row r="2" spans="3:63" ht="15">
      <c r="C2" s="49"/>
      <c r="D2" s="21" t="s">
        <v>2</v>
      </c>
      <c r="E2" s="21" t="s">
        <v>3</v>
      </c>
      <c r="F2" s="21"/>
      <c r="G2" s="21"/>
      <c r="H2" s="21"/>
      <c r="J2" t="s">
        <v>468</v>
      </c>
      <c r="K2" s="16"/>
      <c r="L2" s="16"/>
      <c r="M2" s="162"/>
      <c r="N2" s="162"/>
      <c r="O2" s="162"/>
      <c r="P2" s="162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</row>
    <row r="3" spans="3:63" ht="15">
      <c r="C3" s="16"/>
      <c r="D3" s="16"/>
      <c r="E3" s="16"/>
      <c r="F3" s="16"/>
      <c r="G3" s="16"/>
      <c r="H3" s="16"/>
      <c r="I3" s="51" t="s">
        <v>270</v>
      </c>
      <c r="K3" s="16"/>
      <c r="L3" s="16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</row>
    <row r="4" spans="1:63" ht="15">
      <c r="A4" s="75"/>
      <c r="C4" s="16"/>
      <c r="D4" s="16"/>
      <c r="E4" s="24" t="s">
        <v>381</v>
      </c>
      <c r="F4" s="16"/>
      <c r="G4" s="16"/>
      <c r="H4" s="16"/>
      <c r="I4" s="51"/>
      <c r="J4" s="51" t="s">
        <v>395</v>
      </c>
      <c r="K4" s="16"/>
      <c r="L4" s="16"/>
      <c r="M4" s="162"/>
      <c r="N4" s="162"/>
      <c r="O4" s="162"/>
      <c r="P4" s="162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</row>
    <row r="5" spans="1:63" ht="15">
      <c r="A5" s="75"/>
      <c r="C5" s="16"/>
      <c r="D5" s="16"/>
      <c r="E5" s="24" t="s">
        <v>273</v>
      </c>
      <c r="F5" s="16"/>
      <c r="G5" s="16"/>
      <c r="H5" s="16"/>
      <c r="I5" s="16"/>
      <c r="J5" s="16"/>
      <c r="K5" s="16"/>
      <c r="L5" s="16"/>
      <c r="M5" s="162"/>
      <c r="N5" s="162"/>
      <c r="O5" s="162"/>
      <c r="P5" s="162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</row>
    <row r="6" spans="1:63" ht="15">
      <c r="A6" s="75" t="s">
        <v>4</v>
      </c>
      <c r="C6" s="16"/>
      <c r="D6" s="16"/>
      <c r="E6" s="38"/>
      <c r="F6" s="16"/>
      <c r="G6" s="16"/>
      <c r="H6" s="16"/>
      <c r="I6" s="16"/>
      <c r="J6" s="52" t="s">
        <v>5</v>
      </c>
      <c r="K6" s="16"/>
      <c r="L6" s="16"/>
      <c r="M6" s="162"/>
      <c r="N6" s="162"/>
      <c r="O6" s="162"/>
      <c r="P6" s="162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</row>
    <row r="7" spans="1:63" ht="15.75" thickBot="1">
      <c r="A7" s="76" t="s">
        <v>6</v>
      </c>
      <c r="C7" s="16"/>
      <c r="D7" s="16"/>
      <c r="E7" s="16"/>
      <c r="F7" s="16"/>
      <c r="G7" s="16"/>
      <c r="H7" s="16"/>
      <c r="I7" s="16"/>
      <c r="J7" s="61" t="s">
        <v>7</v>
      </c>
      <c r="K7" s="16"/>
      <c r="L7" s="16"/>
      <c r="M7" s="162"/>
      <c r="N7" s="162"/>
      <c r="O7" s="162"/>
      <c r="P7" s="162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</row>
    <row r="8" spans="1:63" ht="15">
      <c r="A8" s="75">
        <v>1</v>
      </c>
      <c r="C8" s="16" t="s">
        <v>213</v>
      </c>
      <c r="D8" s="16"/>
      <c r="E8" s="17"/>
      <c r="F8" s="16"/>
      <c r="G8" s="16"/>
      <c r="H8" s="16"/>
      <c r="I8" s="16"/>
      <c r="J8" s="57">
        <f>+J160</f>
        <v>67142965.28542134</v>
      </c>
      <c r="K8" s="16"/>
      <c r="L8" s="16"/>
      <c r="M8" s="162"/>
      <c r="N8" s="162"/>
      <c r="O8" s="162"/>
      <c r="P8" s="162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</row>
    <row r="9" spans="1:63" ht="15">
      <c r="A9" s="75"/>
      <c r="C9" s="16"/>
      <c r="D9" s="16"/>
      <c r="E9" s="16"/>
      <c r="F9" s="16"/>
      <c r="G9" s="16"/>
      <c r="H9" s="16"/>
      <c r="I9" s="16"/>
      <c r="J9" s="17"/>
      <c r="K9" s="16"/>
      <c r="L9" s="16"/>
      <c r="M9" s="162"/>
      <c r="N9" s="162"/>
      <c r="O9" s="162"/>
      <c r="P9" s="162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</row>
    <row r="10" spans="1:63" ht="15">
      <c r="A10" s="75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2"/>
      <c r="N10" s="162"/>
      <c r="O10" s="162"/>
      <c r="P10" s="162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</row>
    <row r="11" spans="1:63" ht="15.75" thickBot="1">
      <c r="A11" s="75" t="s">
        <v>2</v>
      </c>
      <c r="C11" s="18" t="s">
        <v>8</v>
      </c>
      <c r="D11" s="58" t="s">
        <v>379</v>
      </c>
      <c r="E11" s="61" t="s">
        <v>9</v>
      </c>
      <c r="F11" s="21"/>
      <c r="G11" s="77" t="s">
        <v>10</v>
      </c>
      <c r="H11" s="77"/>
      <c r="I11" s="16"/>
      <c r="J11" s="17"/>
      <c r="K11" s="16"/>
      <c r="L11" s="16"/>
      <c r="M11" s="162"/>
      <c r="N11" s="162"/>
      <c r="O11" s="162"/>
      <c r="P11" s="162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</row>
    <row r="12" spans="1:63" ht="15">
      <c r="A12" s="75">
        <v>2</v>
      </c>
      <c r="C12" s="18" t="s">
        <v>12</v>
      </c>
      <c r="D12" s="21" t="s">
        <v>214</v>
      </c>
      <c r="E12" s="21">
        <f>J236</f>
        <v>38685.34810000006</v>
      </c>
      <c r="F12" s="21"/>
      <c r="G12" s="21" t="s">
        <v>11</v>
      </c>
      <c r="H12" s="36">
        <f>J179</f>
        <v>0.9833980098949245</v>
      </c>
      <c r="I12" s="21"/>
      <c r="J12" s="21">
        <f>+H12*E12</f>
        <v>38043.09433363246</v>
      </c>
      <c r="K12" s="16"/>
      <c r="L12" s="16"/>
      <c r="M12" s="162"/>
      <c r="N12" s="162"/>
      <c r="O12" s="162"/>
      <c r="P12" s="162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</row>
    <row r="13" spans="1:63" ht="15">
      <c r="A13" s="75">
        <v>3</v>
      </c>
      <c r="C13" s="18" t="s">
        <v>13</v>
      </c>
      <c r="D13" s="21" t="s">
        <v>215</v>
      </c>
      <c r="E13" s="194" t="s">
        <v>326</v>
      </c>
      <c r="F13" s="21"/>
      <c r="G13" s="21" t="str">
        <f aca="true" t="shared" si="0" ref="G13:H15">+G12</f>
        <v>TP</v>
      </c>
      <c r="H13" s="36">
        <f t="shared" si="0"/>
        <v>0.9833980098949245</v>
      </c>
      <c r="I13" s="21"/>
      <c r="J13" s="194" t="s">
        <v>326</v>
      </c>
      <c r="K13" s="16"/>
      <c r="L13" s="16"/>
      <c r="M13" s="162"/>
      <c r="N13" s="162"/>
      <c r="O13" s="162"/>
      <c r="P13" s="162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</row>
    <row r="14" spans="1:63" ht="15">
      <c r="A14" s="75">
        <v>4</v>
      </c>
      <c r="C14" s="59" t="s">
        <v>201</v>
      </c>
      <c r="D14" s="21"/>
      <c r="E14" s="104">
        <v>0</v>
      </c>
      <c r="F14" s="21"/>
      <c r="G14" s="21" t="str">
        <f t="shared" si="0"/>
        <v>TP</v>
      </c>
      <c r="H14" s="36">
        <f t="shared" si="0"/>
        <v>0.9833980098949245</v>
      </c>
      <c r="I14" s="21"/>
      <c r="J14" s="194" t="s">
        <v>326</v>
      </c>
      <c r="K14" s="16"/>
      <c r="L14" s="16"/>
      <c r="M14" s="162"/>
      <c r="N14" s="162"/>
      <c r="O14" s="162"/>
      <c r="P14" s="162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</row>
    <row r="15" spans="1:63" ht="15.75" thickBot="1">
      <c r="A15" s="75">
        <v>5</v>
      </c>
      <c r="C15" s="59" t="s">
        <v>202</v>
      </c>
      <c r="D15" s="21"/>
      <c r="E15" s="104">
        <v>0</v>
      </c>
      <c r="F15" s="21"/>
      <c r="G15" s="21" t="str">
        <f t="shared" si="0"/>
        <v>TP</v>
      </c>
      <c r="H15" s="36">
        <f t="shared" si="0"/>
        <v>0.9833980098949245</v>
      </c>
      <c r="I15" s="21"/>
      <c r="J15" s="257" t="s">
        <v>326</v>
      </c>
      <c r="K15" s="16"/>
      <c r="L15" s="16"/>
      <c r="M15" s="162"/>
      <c r="N15" s="162"/>
      <c r="O15" s="162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</row>
    <row r="16" spans="1:63" ht="15">
      <c r="A16" s="75">
        <v>6</v>
      </c>
      <c r="C16" s="18" t="s">
        <v>191</v>
      </c>
      <c r="D16" s="16"/>
      <c r="E16" s="33" t="s">
        <v>2</v>
      </c>
      <c r="F16" s="21"/>
      <c r="G16" s="21"/>
      <c r="H16" s="36"/>
      <c r="I16" s="21"/>
      <c r="J16" s="21">
        <f>SUM(J12:J15)</f>
        <v>38043.09433363246</v>
      </c>
      <c r="K16" s="16"/>
      <c r="L16" s="16"/>
      <c r="M16" s="162"/>
      <c r="N16" s="162"/>
      <c r="O16" s="162"/>
      <c r="P16" s="162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</row>
    <row r="17" spans="1:63" ht="15">
      <c r="A17" s="75"/>
      <c r="D17" s="16"/>
      <c r="E17" s="21" t="s">
        <v>2</v>
      </c>
      <c r="F17" s="16"/>
      <c r="G17" s="16"/>
      <c r="H17" s="36"/>
      <c r="I17" s="16"/>
      <c r="K17" s="16"/>
      <c r="L17" s="16"/>
      <c r="M17" s="162"/>
      <c r="N17" s="162"/>
      <c r="O17" s="162"/>
      <c r="P17" s="162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</row>
    <row r="18" spans="1:63" ht="15">
      <c r="A18" s="75"/>
      <c r="C18" s="18"/>
      <c r="D18" s="16"/>
      <c r="E18" s="28"/>
      <c r="F18" s="28"/>
      <c r="G18" s="28"/>
      <c r="H18" s="28"/>
      <c r="I18" s="28"/>
      <c r="J18" s="21"/>
      <c r="K18" s="16"/>
      <c r="L18" s="16"/>
      <c r="M18" s="162"/>
      <c r="N18" s="162"/>
      <c r="O18" s="162"/>
      <c r="P18" s="162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</row>
    <row r="19" spans="1:63" ht="15">
      <c r="A19" s="300"/>
      <c r="B19" s="301"/>
      <c r="C19" s="302"/>
      <c r="D19" s="303"/>
      <c r="E19" s="304"/>
      <c r="F19" s="305"/>
      <c r="G19" s="305"/>
      <c r="H19" s="305"/>
      <c r="I19" s="305"/>
      <c r="J19" s="298"/>
      <c r="K19" s="16"/>
      <c r="L19" s="16"/>
      <c r="M19" s="162"/>
      <c r="N19" s="162"/>
      <c r="O19" s="162"/>
      <c r="P19" s="162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</row>
    <row r="20" spans="1:63" ht="15">
      <c r="A20" s="300"/>
      <c r="B20" s="301"/>
      <c r="C20" s="301"/>
      <c r="D20" s="303"/>
      <c r="E20" s="304"/>
      <c r="F20" s="305"/>
      <c r="G20" s="305"/>
      <c r="H20" s="305"/>
      <c r="I20" s="305"/>
      <c r="J20" s="301"/>
      <c r="K20" s="16"/>
      <c r="L20" s="16"/>
      <c r="M20" s="162"/>
      <c r="N20" s="162"/>
      <c r="O20" s="162"/>
      <c r="P20" s="162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</row>
    <row r="21" spans="1:63" ht="15">
      <c r="A21" s="300"/>
      <c r="B21" s="301"/>
      <c r="C21" s="301"/>
      <c r="D21" s="305"/>
      <c r="E21" s="306"/>
      <c r="F21" s="306"/>
      <c r="G21" s="306"/>
      <c r="H21" s="306"/>
      <c r="I21" s="306"/>
      <c r="J21" s="305"/>
      <c r="K21" s="16"/>
      <c r="L21" s="16"/>
      <c r="M21" s="162"/>
      <c r="N21" s="162"/>
      <c r="O21" s="162"/>
      <c r="P21" s="162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</row>
    <row r="22" spans="1:63" ht="15">
      <c r="A22" s="300"/>
      <c r="B22" s="301"/>
      <c r="C22" s="302"/>
      <c r="D22" s="303"/>
      <c r="E22" s="59"/>
      <c r="F22" s="303"/>
      <c r="G22" s="303"/>
      <c r="H22" s="303"/>
      <c r="I22" s="303"/>
      <c r="J22" s="59"/>
      <c r="K22" s="16"/>
      <c r="L22" s="16"/>
      <c r="M22" s="162"/>
      <c r="N22" s="162"/>
      <c r="O22" s="162"/>
      <c r="P22" s="162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</row>
    <row r="23" spans="1:63" ht="15.75">
      <c r="A23" s="300"/>
      <c r="B23" s="301"/>
      <c r="C23" s="302"/>
      <c r="D23" s="306"/>
      <c r="E23" s="59"/>
      <c r="F23" s="303"/>
      <c r="G23" s="303"/>
      <c r="H23" s="307"/>
      <c r="I23" s="303"/>
      <c r="J23" s="286"/>
      <c r="K23" s="16"/>
      <c r="L23" s="16"/>
      <c r="M23" s="162"/>
      <c r="O23" s="162"/>
      <c r="P23" s="162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</row>
    <row r="24" spans="1:63" ht="15.75">
      <c r="A24" s="300"/>
      <c r="B24" s="301"/>
      <c r="C24" s="302"/>
      <c r="D24" s="305"/>
      <c r="E24" s="305"/>
      <c r="F24" s="305"/>
      <c r="G24" s="305"/>
      <c r="H24" s="305"/>
      <c r="I24" s="305"/>
      <c r="J24" s="286"/>
      <c r="K24" s="16"/>
      <c r="L24" s="16"/>
      <c r="M24" s="162"/>
      <c r="O24" s="162"/>
      <c r="P24" s="162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</row>
    <row r="25" spans="1:63" ht="15.75">
      <c r="A25" s="300"/>
      <c r="B25" s="301"/>
      <c r="C25" s="59"/>
      <c r="D25" s="303"/>
      <c r="E25" s="303"/>
      <c r="F25" s="303"/>
      <c r="G25" s="301"/>
      <c r="H25" s="307"/>
      <c r="I25" s="303"/>
      <c r="J25" s="286"/>
      <c r="K25" s="16"/>
      <c r="L25" s="16"/>
      <c r="M25" s="162"/>
      <c r="O25" s="162"/>
      <c r="P25" s="162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</row>
    <row r="26" spans="1:63" ht="15.75">
      <c r="A26" s="300"/>
      <c r="B26" s="301"/>
      <c r="C26" s="302"/>
      <c r="D26" s="303"/>
      <c r="E26" s="303"/>
      <c r="F26" s="303"/>
      <c r="G26" s="301"/>
      <c r="H26" s="307"/>
      <c r="I26" s="303"/>
      <c r="J26" s="286"/>
      <c r="K26" s="16"/>
      <c r="L26" s="16"/>
      <c r="M26" s="162"/>
      <c r="O26" s="162"/>
      <c r="P26" s="162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</row>
    <row r="27" spans="1:63" ht="15.75">
      <c r="A27" s="300"/>
      <c r="B27" s="301"/>
      <c r="C27" s="59"/>
      <c r="D27" s="303"/>
      <c r="E27" s="303"/>
      <c r="F27" s="303"/>
      <c r="G27" s="303"/>
      <c r="H27" s="307"/>
      <c r="I27" s="303"/>
      <c r="J27" s="286"/>
      <c r="K27" s="16"/>
      <c r="L27" s="16"/>
      <c r="M27" s="162"/>
      <c r="O27" s="162"/>
      <c r="P27" s="162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</row>
    <row r="28" spans="1:63" ht="15.75">
      <c r="A28" s="300"/>
      <c r="B28" s="301"/>
      <c r="C28" s="59"/>
      <c r="D28" s="303"/>
      <c r="E28" s="303"/>
      <c r="F28" s="303"/>
      <c r="G28" s="303"/>
      <c r="H28" s="307"/>
      <c r="I28" s="303"/>
      <c r="J28" s="286"/>
      <c r="K28" s="16"/>
      <c r="L28" s="16"/>
      <c r="M28" s="162"/>
      <c r="O28" s="162"/>
      <c r="P28" s="162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</row>
    <row r="29" spans="1:63" ht="15">
      <c r="A29" s="300"/>
      <c r="B29" s="301"/>
      <c r="C29" s="59"/>
      <c r="D29" s="303"/>
      <c r="E29" s="303"/>
      <c r="F29" s="303"/>
      <c r="G29" s="303"/>
      <c r="H29" s="307"/>
      <c r="I29" s="303"/>
      <c r="J29" s="299"/>
      <c r="K29" s="16"/>
      <c r="L29" s="16"/>
      <c r="M29" s="162"/>
      <c r="O29" s="162"/>
      <c r="P29" s="162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</row>
    <row r="30" spans="1:63" ht="15">
      <c r="A30" s="300"/>
      <c r="B30" s="301"/>
      <c r="C30" s="275"/>
      <c r="D30" s="303"/>
      <c r="E30" s="303"/>
      <c r="F30" s="303"/>
      <c r="G30" s="303"/>
      <c r="H30" s="303"/>
      <c r="I30" s="303"/>
      <c r="J30" s="59"/>
      <c r="K30" s="16"/>
      <c r="L30" s="16"/>
      <c r="M30" s="162"/>
      <c r="N30" s="162"/>
      <c r="O30" s="162"/>
      <c r="P30" s="162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</row>
    <row r="31" spans="1:63" ht="15">
      <c r="A31" s="300"/>
      <c r="B31" s="301"/>
      <c r="C31" s="302"/>
      <c r="D31" s="303"/>
      <c r="E31" s="303"/>
      <c r="F31" s="303"/>
      <c r="G31" s="303"/>
      <c r="H31" s="303"/>
      <c r="I31" s="303"/>
      <c r="J31" s="59"/>
      <c r="K31" s="16"/>
      <c r="L31" s="16"/>
      <c r="M31" s="162"/>
      <c r="N31" s="162"/>
      <c r="O31" s="162"/>
      <c r="P31" s="162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</row>
    <row r="32" spans="1:63" ht="15">
      <c r="A32" s="300"/>
      <c r="B32" s="301"/>
      <c r="C32" s="302"/>
      <c r="D32" s="303"/>
      <c r="E32" s="308"/>
      <c r="F32" s="303"/>
      <c r="G32" s="303"/>
      <c r="H32" s="303"/>
      <c r="I32" s="303"/>
      <c r="J32" s="306"/>
      <c r="K32" s="16"/>
      <c r="L32" s="16"/>
      <c r="M32" s="162"/>
      <c r="N32" s="162"/>
      <c r="O32" s="162"/>
      <c r="P32" s="162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</row>
    <row r="33" spans="1:63" ht="15">
      <c r="A33" s="300"/>
      <c r="B33" s="301"/>
      <c r="C33" s="302"/>
      <c r="D33" s="303"/>
      <c r="E33" s="308"/>
      <c r="F33" s="303"/>
      <c r="G33" s="303"/>
      <c r="H33" s="303"/>
      <c r="I33" s="303"/>
      <c r="J33" s="306"/>
      <c r="K33" s="16"/>
      <c r="L33" s="16"/>
      <c r="M33" s="162"/>
      <c r="N33" s="162"/>
      <c r="O33" s="162"/>
      <c r="P33" s="162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</row>
    <row r="34" spans="1:63" ht="15">
      <c r="A34" s="300"/>
      <c r="B34" s="301"/>
      <c r="C34" s="302"/>
      <c r="D34" s="303"/>
      <c r="E34" s="309"/>
      <c r="F34" s="303"/>
      <c r="G34" s="303"/>
      <c r="H34" s="303"/>
      <c r="I34" s="303"/>
      <c r="J34" s="306"/>
      <c r="K34" s="16"/>
      <c r="L34" s="16"/>
      <c r="M34" s="162"/>
      <c r="N34" s="162"/>
      <c r="O34" s="162"/>
      <c r="P34" s="162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</row>
    <row r="35" spans="1:63" ht="15">
      <c r="A35" s="300"/>
      <c r="B35" s="301"/>
      <c r="C35" s="302"/>
      <c r="D35" s="303"/>
      <c r="E35" s="310"/>
      <c r="F35" s="303"/>
      <c r="G35" s="303"/>
      <c r="H35" s="303"/>
      <c r="I35" s="303"/>
      <c r="J35" s="311"/>
      <c r="K35" s="16"/>
      <c r="L35" s="16"/>
      <c r="M35" s="162"/>
      <c r="N35" s="162"/>
      <c r="O35" s="162"/>
      <c r="P35" s="162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</row>
    <row r="36" spans="1:63" ht="15">
      <c r="A36" s="300"/>
      <c r="B36" s="301"/>
      <c r="C36" s="302"/>
      <c r="D36" s="303"/>
      <c r="E36" s="309"/>
      <c r="F36" s="303"/>
      <c r="G36" s="303"/>
      <c r="H36" s="303"/>
      <c r="I36" s="303"/>
      <c r="J36" s="306"/>
      <c r="K36" s="16"/>
      <c r="L36" s="16"/>
      <c r="M36" s="162"/>
      <c r="N36" s="162"/>
      <c r="O36" s="162"/>
      <c r="P36" s="162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</row>
    <row r="37" spans="1:63" ht="15">
      <c r="A37" s="300"/>
      <c r="B37" s="301"/>
      <c r="C37" s="302"/>
      <c r="D37" s="312"/>
      <c r="E37" s="308"/>
      <c r="F37" s="303"/>
      <c r="G37" s="303"/>
      <c r="H37" s="303"/>
      <c r="I37" s="303"/>
      <c r="J37" s="313"/>
      <c r="K37" s="16"/>
      <c r="L37" s="16"/>
      <c r="M37" s="162"/>
      <c r="N37" s="162"/>
      <c r="O37" s="162"/>
      <c r="P37" s="162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</row>
    <row r="38" spans="1:63" ht="15">
      <c r="A38" s="300"/>
      <c r="B38" s="301"/>
      <c r="C38" s="302"/>
      <c r="D38" s="312"/>
      <c r="E38" s="308"/>
      <c r="F38" s="303"/>
      <c r="G38" s="306"/>
      <c r="H38" s="303"/>
      <c r="I38" s="303"/>
      <c r="J38" s="313"/>
      <c r="K38" s="16"/>
      <c r="L38" s="16"/>
      <c r="M38" s="162"/>
      <c r="N38" s="162"/>
      <c r="O38" s="162"/>
      <c r="P38" s="162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</row>
    <row r="39" spans="1:63" ht="15">
      <c r="A39" s="300"/>
      <c r="B39" s="301"/>
      <c r="C39" s="302"/>
      <c r="D39" s="312"/>
      <c r="E39" s="308"/>
      <c r="F39" s="303"/>
      <c r="G39" s="306"/>
      <c r="H39" s="303"/>
      <c r="I39" s="303"/>
      <c r="J39" s="313"/>
      <c r="K39" s="16"/>
      <c r="L39" s="16" t="s">
        <v>2</v>
      </c>
      <c r="M39" s="162"/>
      <c r="N39" s="162"/>
      <c r="O39" s="162"/>
      <c r="P39" s="162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</row>
    <row r="40" spans="1:63" ht="15">
      <c r="A40" s="300"/>
      <c r="B40" s="301"/>
      <c r="C40" s="302"/>
      <c r="D40" s="303"/>
      <c r="E40" s="303"/>
      <c r="F40" s="303"/>
      <c r="G40" s="306"/>
      <c r="H40" s="303"/>
      <c r="I40" s="303"/>
      <c r="J40" s="306"/>
      <c r="K40" s="16"/>
      <c r="L40" s="16" t="s">
        <v>2</v>
      </c>
      <c r="M40" s="162"/>
      <c r="N40" s="162"/>
      <c r="O40" s="162"/>
      <c r="P40" s="162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</row>
    <row r="41" spans="1:63" ht="15">
      <c r="A41" s="300"/>
      <c r="B41" s="301"/>
      <c r="C41" s="302"/>
      <c r="D41" s="303"/>
      <c r="E41" s="303"/>
      <c r="F41" s="303"/>
      <c r="G41" s="306"/>
      <c r="H41" s="303"/>
      <c r="I41" s="303"/>
      <c r="J41" s="306"/>
      <c r="K41" s="16"/>
      <c r="L41" s="16" t="s">
        <v>2</v>
      </c>
      <c r="M41" s="162"/>
      <c r="N41" s="162"/>
      <c r="O41" s="162"/>
      <c r="P41" s="162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</row>
    <row r="42" spans="1:63" ht="15">
      <c r="A42" s="300"/>
      <c r="B42" s="301"/>
      <c r="C42" s="302"/>
      <c r="D42" s="312"/>
      <c r="E42" s="301"/>
      <c r="F42" s="314"/>
      <c r="G42" s="314"/>
      <c r="H42" s="314"/>
      <c r="I42" s="314"/>
      <c r="J42" s="315"/>
      <c r="K42" s="72" t="s">
        <v>2</v>
      </c>
      <c r="L42" s="16"/>
      <c r="M42" s="162"/>
      <c r="N42" s="162"/>
      <c r="O42" s="162"/>
      <c r="P42" s="162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</row>
    <row r="43" spans="1:63" ht="15">
      <c r="A43" s="300"/>
      <c r="B43" s="301"/>
      <c r="C43" s="302"/>
      <c r="D43" s="303"/>
      <c r="E43" s="301"/>
      <c r="F43" s="314"/>
      <c r="G43" s="314"/>
      <c r="H43" s="314"/>
      <c r="I43" s="314"/>
      <c r="J43" s="314"/>
      <c r="K43" s="72"/>
      <c r="L43" s="16"/>
      <c r="M43" s="162"/>
      <c r="N43" s="162"/>
      <c r="O43" s="162"/>
      <c r="P43" s="162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</row>
    <row r="44" spans="1:63" ht="1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73"/>
      <c r="L44" s="16"/>
      <c r="M44" s="162"/>
      <c r="N44" s="162"/>
      <c r="O44" s="162"/>
      <c r="P44" s="162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</row>
    <row r="45" spans="1:63" ht="15">
      <c r="A45" s="300"/>
      <c r="B45" s="301"/>
      <c r="C45" s="301"/>
      <c r="D45" s="301"/>
      <c r="E45" s="301"/>
      <c r="F45" s="301"/>
      <c r="G45" s="301"/>
      <c r="H45" s="301"/>
      <c r="I45" s="301"/>
      <c r="J45" s="316"/>
      <c r="K45" s="73"/>
      <c r="L45" s="16"/>
      <c r="M45" s="162"/>
      <c r="N45" s="162"/>
      <c r="O45" s="162"/>
      <c r="P45" s="162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</row>
    <row r="46" spans="1:63" ht="15">
      <c r="A46" s="301"/>
      <c r="B46" s="301"/>
      <c r="C46" s="302"/>
      <c r="D46" s="303"/>
      <c r="E46" s="303"/>
      <c r="F46" s="303"/>
      <c r="G46" s="303"/>
      <c r="H46" s="303"/>
      <c r="I46" s="303"/>
      <c r="J46" s="317"/>
      <c r="K46" s="16"/>
      <c r="L46" s="16"/>
      <c r="M46" s="162"/>
      <c r="N46" s="162"/>
      <c r="O46" s="162"/>
      <c r="P46" s="162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</row>
    <row r="47" spans="1:63" ht="15">
      <c r="A47" s="300"/>
      <c r="B47" s="301"/>
      <c r="C47" s="302"/>
      <c r="D47" s="303"/>
      <c r="E47" s="303"/>
      <c r="F47" s="303"/>
      <c r="G47" s="303"/>
      <c r="H47" s="303"/>
      <c r="I47" s="303"/>
      <c r="J47" s="318"/>
      <c r="K47" s="16"/>
      <c r="L47" s="16"/>
      <c r="M47" s="162"/>
      <c r="N47" s="162"/>
      <c r="O47" s="162"/>
      <c r="P47" s="162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</row>
    <row r="48" spans="3:63" ht="15">
      <c r="C48" s="18"/>
      <c r="D48" s="16"/>
      <c r="E48" s="16"/>
      <c r="F48" s="16"/>
      <c r="G48" s="16"/>
      <c r="H48" s="16"/>
      <c r="I48" s="16"/>
      <c r="J48" s="45"/>
      <c r="K48" s="16"/>
      <c r="L48" s="16"/>
      <c r="M48" s="162"/>
      <c r="N48" s="162"/>
      <c r="O48" s="162"/>
      <c r="P48" s="162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</row>
    <row r="49" spans="3:63" ht="15">
      <c r="C49" s="18"/>
      <c r="D49" s="16"/>
      <c r="E49" s="16"/>
      <c r="F49" s="16"/>
      <c r="G49" s="16"/>
      <c r="H49" s="16"/>
      <c r="I49" s="16"/>
      <c r="J49" s="45"/>
      <c r="K49" s="16"/>
      <c r="L49" s="16"/>
      <c r="M49" s="162"/>
      <c r="N49" s="162"/>
      <c r="O49" s="162"/>
      <c r="P49" s="162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</row>
    <row r="50" spans="3:63" ht="15">
      <c r="C50" s="18"/>
      <c r="D50" s="16"/>
      <c r="E50" s="16"/>
      <c r="F50" s="16"/>
      <c r="G50" s="16"/>
      <c r="H50" s="16"/>
      <c r="I50" s="16"/>
      <c r="J50" s="45"/>
      <c r="K50" s="16"/>
      <c r="L50" s="16"/>
      <c r="M50" s="162"/>
      <c r="N50" s="162"/>
      <c r="O50" s="162"/>
      <c r="P50" s="162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</row>
    <row r="51" spans="3:63" ht="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2"/>
      <c r="N51" s="162"/>
      <c r="O51" s="162"/>
      <c r="P51" s="162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</row>
    <row r="52" spans="3:63" ht="15">
      <c r="C52" s="18" t="str">
        <f>C1</f>
        <v>Formula Rate - Non-Levelized </v>
      </c>
      <c r="D52" s="18"/>
      <c r="E52" s="19" t="str">
        <f>E1</f>
        <v>     Rate Formula Template</v>
      </c>
      <c r="F52" s="18"/>
      <c r="G52" s="18"/>
      <c r="J52" t="str">
        <f>+J1</f>
        <v>Statement BK</v>
      </c>
      <c r="K52" s="18"/>
      <c r="L52" s="18"/>
      <c r="M52" s="164"/>
      <c r="N52" s="164"/>
      <c r="O52" s="164"/>
      <c r="P52" s="164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</row>
    <row r="53" spans="3:63" ht="15">
      <c r="C53" s="18"/>
      <c r="D53" s="21" t="s">
        <v>2</v>
      </c>
      <c r="E53" s="21" t="str">
        <f>E2</f>
        <v> Utilizing FERC Form 1 Data</v>
      </c>
      <c r="F53" s="21"/>
      <c r="G53" s="21"/>
      <c r="H53" s="21"/>
      <c r="J53" t="str">
        <f>+J2</f>
        <v>Schedule WES</v>
      </c>
      <c r="K53" s="21"/>
      <c r="L53" s="21"/>
      <c r="M53" s="2"/>
      <c r="N53" s="162"/>
      <c r="O53" s="2"/>
      <c r="P53" s="164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</row>
    <row r="54" spans="3:63" ht="15">
      <c r="C54" s="18"/>
      <c r="D54" s="21" t="s">
        <v>2</v>
      </c>
      <c r="E54" s="21" t="s">
        <v>2</v>
      </c>
      <c r="F54" s="21"/>
      <c r="G54" s="21"/>
      <c r="H54" s="21" t="s">
        <v>2</v>
      </c>
      <c r="I54" s="18" t="str">
        <f>I3</f>
        <v>For the 12 months ended 12/31/04</v>
      </c>
      <c r="K54" s="21"/>
      <c r="L54" s="21"/>
      <c r="M54" s="2"/>
      <c r="N54" s="2"/>
      <c r="O54" s="2"/>
      <c r="P54" s="164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</row>
    <row r="55" spans="3:63" ht="15">
      <c r="C55" s="18"/>
      <c r="D55" s="16"/>
      <c r="E55" s="22" t="str">
        <f>+E4</f>
        <v>KANSAS GAS AND ELECTRIC COMPANY</v>
      </c>
      <c r="F55" s="21"/>
      <c r="G55" s="21"/>
      <c r="H55" s="21"/>
      <c r="I55" s="21"/>
      <c r="J55" s="51" t="s">
        <v>396</v>
      </c>
      <c r="K55" s="21"/>
      <c r="L55" s="21"/>
      <c r="M55" s="2"/>
      <c r="N55" s="2"/>
      <c r="O55" s="2"/>
      <c r="P55" s="164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</row>
    <row r="56" spans="3:63" ht="15">
      <c r="C56" s="18"/>
      <c r="D56" s="16"/>
      <c r="E56" s="22" t="str">
        <f>+E5</f>
        <v>(WES)</v>
      </c>
      <c r="F56" s="21"/>
      <c r="G56" s="21"/>
      <c r="H56" s="21"/>
      <c r="I56" s="21"/>
      <c r="J56" s="21"/>
      <c r="K56" s="21"/>
      <c r="L56" s="21"/>
      <c r="M56" s="2"/>
      <c r="N56" s="2"/>
      <c r="O56" s="2"/>
      <c r="P56" s="164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</row>
    <row r="57" spans="3:63" ht="15">
      <c r="C57" s="20" t="s">
        <v>32</v>
      </c>
      <c r="D57" s="20" t="s">
        <v>33</v>
      </c>
      <c r="E57" s="20" t="s">
        <v>34</v>
      </c>
      <c r="F57" s="21" t="s">
        <v>2</v>
      </c>
      <c r="G57" s="21"/>
      <c r="H57" s="23" t="s">
        <v>35</v>
      </c>
      <c r="I57" s="21"/>
      <c r="J57" s="24" t="s">
        <v>36</v>
      </c>
      <c r="K57" s="21"/>
      <c r="L57" s="20"/>
      <c r="M57" s="2"/>
      <c r="N57" s="165"/>
      <c r="O57" s="2"/>
      <c r="P57" s="164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</row>
    <row r="58" spans="3:63" ht="15.75">
      <c r="C58" s="18"/>
      <c r="D58" s="46" t="s">
        <v>37</v>
      </c>
      <c r="E58" s="21"/>
      <c r="F58" s="21"/>
      <c r="G58" s="21"/>
      <c r="H58" s="52"/>
      <c r="I58" s="21"/>
      <c r="J58" s="53" t="s">
        <v>38</v>
      </c>
      <c r="K58" s="21"/>
      <c r="L58" s="20"/>
      <c r="M58" s="2"/>
      <c r="N58" s="165"/>
      <c r="O58" s="165"/>
      <c r="P58" s="164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</row>
    <row r="59" spans="1:63" ht="15.75">
      <c r="A59" s="75" t="s">
        <v>4</v>
      </c>
      <c r="C59" s="18"/>
      <c r="D59" s="79" t="s">
        <v>39</v>
      </c>
      <c r="E59" s="53" t="s">
        <v>40</v>
      </c>
      <c r="F59" s="80"/>
      <c r="G59" s="53" t="s">
        <v>41</v>
      </c>
      <c r="H59" s="28"/>
      <c r="I59" s="80"/>
      <c r="J59" s="81" t="s">
        <v>42</v>
      </c>
      <c r="K59" s="21"/>
      <c r="L59" s="20"/>
      <c r="M59" s="162"/>
      <c r="N59" s="165"/>
      <c r="O59" s="165"/>
      <c r="P59" s="164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</row>
    <row r="60" spans="1:63" ht="16.5" thickBot="1">
      <c r="A60" s="76" t="s">
        <v>6</v>
      </c>
      <c r="C60" s="29" t="s">
        <v>43</v>
      </c>
      <c r="D60" s="21"/>
      <c r="E60" s="21"/>
      <c r="F60" s="21"/>
      <c r="G60" s="21"/>
      <c r="H60" s="21"/>
      <c r="I60" s="21"/>
      <c r="J60" s="21"/>
      <c r="K60" s="21"/>
      <c r="L60" s="21"/>
      <c r="M60" s="162"/>
      <c r="N60" s="2"/>
      <c r="O60" s="2"/>
      <c r="P60" s="164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</row>
    <row r="61" spans="1:63" ht="15.75">
      <c r="A61" s="75"/>
      <c r="C61" s="18"/>
      <c r="D61" s="260"/>
      <c r="E61" s="21"/>
      <c r="F61" s="21"/>
      <c r="G61" s="21"/>
      <c r="H61" s="21"/>
      <c r="I61" s="21"/>
      <c r="J61" s="21"/>
      <c r="K61" s="21"/>
      <c r="L61" s="21"/>
      <c r="M61" s="162"/>
      <c r="N61" s="2"/>
      <c r="O61" s="2"/>
      <c r="P61" s="164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</row>
    <row r="62" spans="1:63" ht="15">
      <c r="A62" s="75"/>
      <c r="C62" s="18" t="s">
        <v>44</v>
      </c>
      <c r="D62" s="21"/>
      <c r="E62" s="21"/>
      <c r="F62" s="21"/>
      <c r="G62" s="21"/>
      <c r="H62" s="21"/>
      <c r="I62" s="21"/>
      <c r="J62" s="21"/>
      <c r="K62" s="21"/>
      <c r="L62" s="21"/>
      <c r="M62" s="162"/>
      <c r="N62" s="2"/>
      <c r="O62" s="2"/>
      <c r="P62" s="164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</row>
    <row r="63" spans="1:63" ht="15">
      <c r="A63" s="75">
        <v>1</v>
      </c>
      <c r="C63" s="18" t="s">
        <v>45</v>
      </c>
      <c r="D63" s="21" t="s">
        <v>470</v>
      </c>
      <c r="E63" s="238">
        <f>2034194436</f>
        <v>2034194436</v>
      </c>
      <c r="F63" s="21"/>
      <c r="G63" s="21" t="s">
        <v>46</v>
      </c>
      <c r="H63" s="30" t="s">
        <v>2</v>
      </c>
      <c r="I63" s="21"/>
      <c r="J63" s="21" t="s">
        <v>2</v>
      </c>
      <c r="K63" s="21"/>
      <c r="L63" s="21"/>
      <c r="M63" s="162"/>
      <c r="O63" s="2"/>
      <c r="P63" s="164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</row>
    <row r="64" spans="1:63" ht="15">
      <c r="A64" s="75">
        <v>2</v>
      </c>
      <c r="C64" s="18" t="s">
        <v>47</v>
      </c>
      <c r="D64" s="21" t="s">
        <v>471</v>
      </c>
      <c r="E64" s="240">
        <v>293250747</v>
      </c>
      <c r="F64" s="21"/>
      <c r="G64" s="21" t="s">
        <v>11</v>
      </c>
      <c r="H64" s="30">
        <f>J179</f>
        <v>0.9833980098949245</v>
      </c>
      <c r="I64" s="21"/>
      <c r="J64" s="21">
        <f>+H64*E64</f>
        <v>288382201</v>
      </c>
      <c r="K64" s="21"/>
      <c r="L64" s="21"/>
      <c r="M64" s="162"/>
      <c r="O64" s="2"/>
      <c r="P64" s="164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</row>
    <row r="65" spans="1:63" ht="15">
      <c r="A65" s="75">
        <v>3</v>
      </c>
      <c r="C65" s="18" t="s">
        <v>48</v>
      </c>
      <c r="D65" s="21" t="s">
        <v>472</v>
      </c>
      <c r="E65" s="238">
        <v>637799807</v>
      </c>
      <c r="F65" s="21"/>
      <c r="G65" s="21" t="s">
        <v>46</v>
      </c>
      <c r="H65" s="30" t="s">
        <v>2</v>
      </c>
      <c r="I65" s="21"/>
      <c r="J65" s="21" t="s">
        <v>2</v>
      </c>
      <c r="K65" s="21"/>
      <c r="L65" s="21"/>
      <c r="M65" s="162"/>
      <c r="O65" s="2"/>
      <c r="P65" s="164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</row>
    <row r="66" spans="1:63" ht="16.5" customHeight="1">
      <c r="A66" s="75">
        <v>4</v>
      </c>
      <c r="C66" s="228" t="s">
        <v>49</v>
      </c>
      <c r="D66" s="319" t="s">
        <v>473</v>
      </c>
      <c r="E66" s="320">
        <f>85492994+13264571</f>
        <v>98757565</v>
      </c>
      <c r="F66" s="21"/>
      <c r="G66" s="21" t="s">
        <v>50</v>
      </c>
      <c r="H66" s="30">
        <f>J199</f>
        <v>0.08023804815854436</v>
      </c>
      <c r="I66" s="21"/>
      <c r="J66" s="21">
        <f>+H66*E66</f>
        <v>7924114.256490575</v>
      </c>
      <c r="K66" s="21"/>
      <c r="L66" s="21"/>
      <c r="M66" s="2"/>
      <c r="O66" s="165"/>
      <c r="P66" s="164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</row>
    <row r="67" spans="1:63" ht="15.75" thickBot="1">
      <c r="A67" s="75">
        <v>5</v>
      </c>
      <c r="C67" s="18" t="s">
        <v>51</v>
      </c>
      <c r="D67" s="21" t="s">
        <v>52</v>
      </c>
      <c r="E67" s="105">
        <v>0</v>
      </c>
      <c r="F67" s="58"/>
      <c r="G67" s="21" t="s">
        <v>137</v>
      </c>
      <c r="H67" s="30">
        <f>L205</f>
        <v>0.08023804815854436</v>
      </c>
      <c r="I67" s="21"/>
      <c r="J67" s="68">
        <f>+H67*E67</f>
        <v>0</v>
      </c>
      <c r="K67" s="21"/>
      <c r="L67" s="21"/>
      <c r="M67" s="2"/>
      <c r="O67" s="165"/>
      <c r="P67" s="164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</row>
    <row r="68" spans="1:63" ht="15">
      <c r="A68" s="75">
        <v>6</v>
      </c>
      <c r="C68" s="49" t="s">
        <v>53</v>
      </c>
      <c r="D68" s="21"/>
      <c r="E68" s="21">
        <f>SUM(E63:E67)</f>
        <v>3064002555</v>
      </c>
      <c r="F68" s="21"/>
      <c r="G68" s="21" t="s">
        <v>54</v>
      </c>
      <c r="H68" s="34">
        <f>IF(J68&gt;0,J68/E68,0)</f>
        <v>0.09670563582689003</v>
      </c>
      <c r="I68" s="21"/>
      <c r="J68" s="21">
        <f>SUM(J63:J67)</f>
        <v>296306315.2564906</v>
      </c>
      <c r="K68" s="21"/>
      <c r="L68" s="34"/>
      <c r="M68" s="162"/>
      <c r="N68" s="2"/>
      <c r="O68" s="2"/>
      <c r="P68" s="164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</row>
    <row r="69" spans="3:63" ht="15">
      <c r="C69" s="18"/>
      <c r="D69" s="21"/>
      <c r="E69" s="21"/>
      <c r="F69" s="21"/>
      <c r="G69" s="21"/>
      <c r="H69" s="34"/>
      <c r="I69" s="21"/>
      <c r="J69" s="21"/>
      <c r="K69" s="21"/>
      <c r="L69" s="34"/>
      <c r="M69" s="162"/>
      <c r="N69" s="2"/>
      <c r="O69" s="2"/>
      <c r="P69" s="164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</row>
    <row r="70" spans="3:63" ht="15.75">
      <c r="C70" s="18" t="s">
        <v>55</v>
      </c>
      <c r="D70" s="260"/>
      <c r="E70" s="21"/>
      <c r="F70" s="21"/>
      <c r="G70" s="21"/>
      <c r="H70" s="21"/>
      <c r="I70" s="21"/>
      <c r="J70" s="21"/>
      <c r="K70" s="21"/>
      <c r="L70" s="21"/>
      <c r="M70" s="162"/>
      <c r="N70" s="2"/>
      <c r="O70" s="2"/>
      <c r="P70" s="164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</row>
    <row r="71" spans="1:63" ht="15">
      <c r="A71" s="75">
        <v>7</v>
      </c>
      <c r="C71" s="18" t="str">
        <f>+C63</f>
        <v>  Production</v>
      </c>
      <c r="D71" s="21" t="s">
        <v>474</v>
      </c>
      <c r="E71" s="238">
        <f>374147471+623464395+475401</f>
        <v>998087267</v>
      </c>
      <c r="F71" s="21"/>
      <c r="G71" s="21" t="str">
        <f aca="true" t="shared" si="1" ref="G71:H75">+G63</f>
        <v>NA</v>
      </c>
      <c r="H71" s="30" t="str">
        <f t="shared" si="1"/>
        <v> </v>
      </c>
      <c r="I71" s="21"/>
      <c r="J71" s="21" t="s">
        <v>2</v>
      </c>
      <c r="K71" s="21"/>
      <c r="L71" s="21"/>
      <c r="M71" s="162"/>
      <c r="N71" s="2"/>
      <c r="O71" s="2"/>
      <c r="P71" s="164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</row>
    <row r="72" spans="1:63" ht="15">
      <c r="A72" s="75">
        <v>8</v>
      </c>
      <c r="C72" s="18" t="str">
        <f>+C64</f>
        <v>  Transmission</v>
      </c>
      <c r="D72" s="21" t="s">
        <v>475</v>
      </c>
      <c r="E72" s="240">
        <v>126041631</v>
      </c>
      <c r="F72" s="21"/>
      <c r="G72" s="21" t="str">
        <f t="shared" si="1"/>
        <v>TP</v>
      </c>
      <c r="H72" s="30">
        <f t="shared" si="1"/>
        <v>0.9833980098949245</v>
      </c>
      <c r="I72" s="21"/>
      <c r="J72" s="21">
        <f>+H72*E72</f>
        <v>123949089.08931042</v>
      </c>
      <c r="K72" s="21"/>
      <c r="L72" s="21"/>
      <c r="M72" s="162"/>
      <c r="N72" s="2"/>
      <c r="O72" s="2"/>
      <c r="P72" s="164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</row>
    <row r="73" spans="1:63" ht="15">
      <c r="A73" s="75">
        <v>9</v>
      </c>
      <c r="C73" s="18" t="str">
        <f>+C65</f>
        <v>  Distribution</v>
      </c>
      <c r="D73" s="21" t="s">
        <v>476</v>
      </c>
      <c r="E73" s="238">
        <v>234021620</v>
      </c>
      <c r="F73" s="21"/>
      <c r="G73" s="21" t="str">
        <f t="shared" si="1"/>
        <v>NA</v>
      </c>
      <c r="H73" s="30" t="str">
        <f t="shared" si="1"/>
        <v> </v>
      </c>
      <c r="I73" s="21"/>
      <c r="J73" s="21" t="s">
        <v>2</v>
      </c>
      <c r="K73" s="21"/>
      <c r="L73" s="21"/>
      <c r="M73" s="162"/>
      <c r="N73" s="2"/>
      <c r="O73" s="2"/>
      <c r="P73" s="164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</row>
    <row r="74" spans="1:63" ht="15">
      <c r="A74" s="75">
        <v>10</v>
      </c>
      <c r="C74" s="18" t="str">
        <f>+C66</f>
        <v>  General &amp; Intangible</v>
      </c>
      <c r="D74" s="21" t="s">
        <v>477</v>
      </c>
      <c r="E74" s="238">
        <v>33932275</v>
      </c>
      <c r="F74" s="21"/>
      <c r="G74" s="21" t="str">
        <f t="shared" si="1"/>
        <v>W/S</v>
      </c>
      <c r="H74" s="30">
        <f t="shared" si="1"/>
        <v>0.08023804815854436</v>
      </c>
      <c r="I74" s="21"/>
      <c r="J74" s="21">
        <f>+H74*E74</f>
        <v>2722659.515578971</v>
      </c>
      <c r="K74" s="21"/>
      <c r="L74" s="21"/>
      <c r="M74" s="162"/>
      <c r="N74" s="2"/>
      <c r="O74" s="165"/>
      <c r="P74" s="164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</row>
    <row r="75" spans="1:63" ht="15.75" thickBot="1">
      <c r="A75" s="75">
        <v>11</v>
      </c>
      <c r="C75" s="18" t="str">
        <f>+C67</f>
        <v>  Common</v>
      </c>
      <c r="D75" s="21" t="s">
        <v>52</v>
      </c>
      <c r="E75" s="105">
        <v>0</v>
      </c>
      <c r="F75" s="21"/>
      <c r="G75" s="21" t="str">
        <f t="shared" si="1"/>
        <v>CE</v>
      </c>
      <c r="H75" s="30">
        <f t="shared" si="1"/>
        <v>0.08023804815854436</v>
      </c>
      <c r="I75" s="21"/>
      <c r="J75" s="68">
        <f>+H75*E75</f>
        <v>0</v>
      </c>
      <c r="K75" s="21"/>
      <c r="L75" s="21"/>
      <c r="M75" s="162"/>
      <c r="N75" s="2"/>
      <c r="O75" s="165"/>
      <c r="P75" s="164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</row>
    <row r="76" spans="1:63" ht="15">
      <c r="A76" s="75">
        <v>12</v>
      </c>
      <c r="C76" s="18" t="s">
        <v>56</v>
      </c>
      <c r="D76" s="21"/>
      <c r="E76" s="21">
        <f>SUM(E71:E75)</f>
        <v>1392082793</v>
      </c>
      <c r="F76" s="21"/>
      <c r="G76" s="21"/>
      <c r="H76" s="21"/>
      <c r="I76" s="21"/>
      <c r="J76" s="21">
        <f>SUM(J71:J75)</f>
        <v>126671748.6048894</v>
      </c>
      <c r="K76" s="21"/>
      <c r="L76" s="21"/>
      <c r="M76" s="162"/>
      <c r="N76" s="166"/>
      <c r="O76" s="2"/>
      <c r="P76" s="164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</row>
    <row r="77" spans="1:63" ht="15">
      <c r="A77" s="75"/>
      <c r="D77" s="21" t="s">
        <v>2</v>
      </c>
      <c r="F77" s="21"/>
      <c r="G77" s="21"/>
      <c r="H77" s="34"/>
      <c r="I77" s="21"/>
      <c r="K77" s="21"/>
      <c r="L77" s="34"/>
      <c r="M77" s="162"/>
      <c r="N77" s="2"/>
      <c r="O77" s="2"/>
      <c r="P77" s="164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</row>
    <row r="78" spans="1:63" ht="15">
      <c r="A78" s="75"/>
      <c r="C78" s="18" t="s">
        <v>57</v>
      </c>
      <c r="D78" s="21"/>
      <c r="E78" s="21"/>
      <c r="F78" s="21"/>
      <c r="G78" s="21"/>
      <c r="H78" s="21"/>
      <c r="I78" s="21"/>
      <c r="J78" s="21"/>
      <c r="K78" s="21"/>
      <c r="L78" s="21"/>
      <c r="M78" s="162"/>
      <c r="N78" s="2"/>
      <c r="O78" s="2"/>
      <c r="P78" s="164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</row>
    <row r="79" spans="1:63" ht="15">
      <c r="A79" s="75">
        <v>13</v>
      </c>
      <c r="C79" s="18" t="str">
        <f>+C71</f>
        <v>  Production</v>
      </c>
      <c r="D79" s="21" t="s">
        <v>58</v>
      </c>
      <c r="E79" s="21">
        <f>E63-E71</f>
        <v>1036107169</v>
      </c>
      <c r="F79" s="21"/>
      <c r="G79" s="21"/>
      <c r="H79" s="34"/>
      <c r="I79" s="21"/>
      <c r="J79" s="21" t="s">
        <v>2</v>
      </c>
      <c r="K79" s="21"/>
      <c r="L79" s="34"/>
      <c r="M79" s="162"/>
      <c r="N79" s="2"/>
      <c r="O79" s="2"/>
      <c r="P79" s="164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</row>
    <row r="80" spans="1:63" ht="15">
      <c r="A80" s="75">
        <v>14</v>
      </c>
      <c r="C80" s="18" t="str">
        <f>+C72</f>
        <v>  Transmission</v>
      </c>
      <c r="D80" s="21" t="s">
        <v>59</v>
      </c>
      <c r="E80" s="21">
        <f>E64-E72</f>
        <v>167209116</v>
      </c>
      <c r="F80" s="21"/>
      <c r="G80" s="21"/>
      <c r="H80" s="30"/>
      <c r="I80" s="21"/>
      <c r="J80" s="21">
        <f>J64-J72</f>
        <v>164433111.9106896</v>
      </c>
      <c r="K80" s="21"/>
      <c r="L80" s="34"/>
      <c r="M80" s="162"/>
      <c r="N80" s="2"/>
      <c r="O80" s="2"/>
      <c r="P80" s="164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</row>
    <row r="81" spans="1:63" ht="15">
      <c r="A81" s="75">
        <v>15</v>
      </c>
      <c r="C81" s="18" t="str">
        <f>+C73</f>
        <v>  Distribution</v>
      </c>
      <c r="D81" s="21" t="s">
        <v>60</v>
      </c>
      <c r="E81" s="21">
        <f>E65-E73</f>
        <v>403778187</v>
      </c>
      <c r="F81" s="21"/>
      <c r="G81" s="21"/>
      <c r="H81" s="34"/>
      <c r="I81" s="21"/>
      <c r="J81" s="21" t="s">
        <v>2</v>
      </c>
      <c r="K81" s="21"/>
      <c r="L81" s="34"/>
      <c r="M81" s="162"/>
      <c r="N81" s="2"/>
      <c r="O81" s="2"/>
      <c r="P81" s="164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</row>
    <row r="82" spans="1:63" ht="15">
      <c r="A82" s="75">
        <v>16</v>
      </c>
      <c r="C82" s="18" t="str">
        <f>+C74</f>
        <v>  General &amp; Intangible</v>
      </c>
      <c r="D82" s="21" t="s">
        <v>61</v>
      </c>
      <c r="E82" s="21">
        <f>E66-E74</f>
        <v>64825290</v>
      </c>
      <c r="F82" s="21"/>
      <c r="G82" s="21"/>
      <c r="H82" s="34"/>
      <c r="I82" s="21"/>
      <c r="J82" s="21">
        <f>J66-J74</f>
        <v>5201454.740911605</v>
      </c>
      <c r="K82" s="21"/>
      <c r="L82" s="34"/>
      <c r="M82" s="162"/>
      <c r="N82" s="2"/>
      <c r="O82" s="165"/>
      <c r="P82" s="164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</row>
    <row r="83" spans="1:63" ht="15.75" thickBot="1">
      <c r="A83" s="75">
        <v>17</v>
      </c>
      <c r="C83" s="18" t="str">
        <f>+C75</f>
        <v>  Common</v>
      </c>
      <c r="D83" s="21" t="s">
        <v>62</v>
      </c>
      <c r="E83" s="68">
        <f>E67-E75</f>
        <v>0</v>
      </c>
      <c r="F83" s="21"/>
      <c r="G83" s="21"/>
      <c r="H83" s="34"/>
      <c r="I83" s="21"/>
      <c r="J83" s="68">
        <f>J67-J75</f>
        <v>0</v>
      </c>
      <c r="K83" s="21"/>
      <c r="L83" s="34"/>
      <c r="M83" s="162"/>
      <c r="N83" s="2"/>
      <c r="O83" s="165"/>
      <c r="P83" s="164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</row>
    <row r="84" spans="1:63" ht="15">
      <c r="A84" s="75">
        <v>18</v>
      </c>
      <c r="C84" s="18" t="s">
        <v>63</v>
      </c>
      <c r="D84" s="21"/>
      <c r="E84" s="21">
        <f>SUM(E79:E83)</f>
        <v>1671919762</v>
      </c>
      <c r="F84" s="21"/>
      <c r="G84" s="21" t="s">
        <v>64</v>
      </c>
      <c r="H84" s="34">
        <f>IF(J84&gt;0,J84/E84,0)</f>
        <v>0.10146094956655055</v>
      </c>
      <c r="I84" s="21"/>
      <c r="J84" s="21">
        <f>SUM(J79:J83)</f>
        <v>169634566.6516012</v>
      </c>
      <c r="K84" s="21"/>
      <c r="L84" s="21"/>
      <c r="M84" s="162"/>
      <c r="N84" s="167"/>
      <c r="O84" s="2"/>
      <c r="P84" s="164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</row>
    <row r="85" spans="1:63" ht="15.75">
      <c r="A85" s="75"/>
      <c r="D85" s="260"/>
      <c r="F85" s="21"/>
      <c r="I85" s="21"/>
      <c r="K85" s="21"/>
      <c r="L85" s="34"/>
      <c r="M85" s="162"/>
      <c r="N85" s="2"/>
      <c r="O85" s="2"/>
      <c r="P85" s="164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</row>
    <row r="86" spans="1:63" ht="15">
      <c r="A86" s="75"/>
      <c r="C86" s="49" t="s">
        <v>458</v>
      </c>
      <c r="D86" s="58"/>
      <c r="E86" s="21"/>
      <c r="F86" s="21"/>
      <c r="G86" s="21"/>
      <c r="H86" s="21"/>
      <c r="I86" s="21"/>
      <c r="J86" s="21"/>
      <c r="K86" s="21"/>
      <c r="L86" s="21"/>
      <c r="M86" s="162"/>
      <c r="N86" s="2" t="s">
        <v>2</v>
      </c>
      <c r="O86" s="2"/>
      <c r="P86" s="164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</row>
    <row r="87" spans="1:63" ht="15">
      <c r="A87" s="75">
        <v>19</v>
      </c>
      <c r="C87" s="18" t="s">
        <v>194</v>
      </c>
      <c r="D87" s="21" t="s">
        <v>65</v>
      </c>
      <c r="E87" s="104">
        <v>0</v>
      </c>
      <c r="F87" s="21"/>
      <c r="G87" s="58" t="str">
        <f>+G71</f>
        <v>NA</v>
      </c>
      <c r="H87" s="152" t="s">
        <v>258</v>
      </c>
      <c r="I87" s="21"/>
      <c r="J87" s="21">
        <v>0</v>
      </c>
      <c r="K87" s="21"/>
      <c r="L87" s="34"/>
      <c r="M87" s="162"/>
      <c r="N87" s="168"/>
      <c r="O87" s="165"/>
      <c r="P87" s="164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</row>
    <row r="88" spans="1:63" ht="15">
      <c r="A88" s="75">
        <v>20</v>
      </c>
      <c r="C88" s="18" t="s">
        <v>195</v>
      </c>
      <c r="D88" s="21" t="s">
        <v>67</v>
      </c>
      <c r="E88" s="238">
        <f>-377454284.6</f>
        <v>-377454284.6</v>
      </c>
      <c r="F88" s="21"/>
      <c r="G88" s="21" t="s">
        <v>66</v>
      </c>
      <c r="H88" s="30">
        <f>+H84</f>
        <v>0.10146094956655055</v>
      </c>
      <c r="I88" s="21"/>
      <c r="J88" s="21">
        <f>E88*H88</f>
        <v>-38296870.13347902</v>
      </c>
      <c r="K88" s="21"/>
      <c r="L88" s="34"/>
      <c r="M88" s="162"/>
      <c r="N88" s="168"/>
      <c r="O88" s="165"/>
      <c r="P88" s="164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</row>
    <row r="89" spans="1:63" ht="15">
      <c r="A89" s="75">
        <v>21</v>
      </c>
      <c r="C89" s="18" t="s">
        <v>196</v>
      </c>
      <c r="D89" s="21" t="s">
        <v>377</v>
      </c>
      <c r="E89" s="242">
        <f>-H349</f>
        <v>-6821911.370000005</v>
      </c>
      <c r="F89" s="21"/>
      <c r="G89" s="21" t="s">
        <v>66</v>
      </c>
      <c r="H89" s="30">
        <f>+H88</f>
        <v>0.10146094956655055</v>
      </c>
      <c r="I89" s="21"/>
      <c r="J89" s="21">
        <f>E89*H89</f>
        <v>-692157.6054590483</v>
      </c>
      <c r="K89" s="21"/>
      <c r="L89" s="34"/>
      <c r="M89" s="162"/>
      <c r="N89" s="168"/>
      <c r="O89" s="165"/>
      <c r="P89" s="164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</row>
    <row r="90" spans="1:63" ht="15">
      <c r="A90" s="75">
        <v>22</v>
      </c>
      <c r="C90" s="18" t="s">
        <v>363</v>
      </c>
      <c r="D90" s="21" t="s">
        <v>378</v>
      </c>
      <c r="E90" s="242">
        <f>H355</f>
        <v>30550107</v>
      </c>
      <c r="F90" s="21"/>
      <c r="G90" s="21" t="str">
        <f>+G89</f>
        <v>NP</v>
      </c>
      <c r="H90" s="30">
        <f>+H89</f>
        <v>0.10146094956655055</v>
      </c>
      <c r="I90" s="21"/>
      <c r="J90" s="21">
        <f>E90*H90</f>
        <v>3099642.865579723</v>
      </c>
      <c r="K90" s="21"/>
      <c r="L90" s="34"/>
      <c r="M90" s="162"/>
      <c r="N90" s="168"/>
      <c r="O90" s="165"/>
      <c r="P90" s="164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</row>
    <row r="91" spans="1:63" ht="15.75" thickBot="1">
      <c r="A91" s="75">
        <v>23</v>
      </c>
      <c r="C91" t="s">
        <v>197</v>
      </c>
      <c r="D91" t="s">
        <v>70</v>
      </c>
      <c r="E91" s="105">
        <v>0</v>
      </c>
      <c r="F91" s="21"/>
      <c r="G91" s="21" t="s">
        <v>66</v>
      </c>
      <c r="H91" s="30">
        <f>+H89</f>
        <v>0.10146094956655055</v>
      </c>
      <c r="I91" s="21"/>
      <c r="J91" s="68">
        <f>E91*H91</f>
        <v>0</v>
      </c>
      <c r="K91" s="21"/>
      <c r="L91" s="34"/>
      <c r="M91" s="162"/>
      <c r="N91" s="168"/>
      <c r="O91" s="165"/>
      <c r="P91" s="164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</row>
    <row r="92" spans="1:63" ht="15">
      <c r="A92" s="75">
        <v>24</v>
      </c>
      <c r="C92" s="18" t="s">
        <v>193</v>
      </c>
      <c r="D92" s="21"/>
      <c r="E92" s="21">
        <f>SUM(E87:E91)</f>
        <v>-353726088.97</v>
      </c>
      <c r="F92" s="21"/>
      <c r="G92" s="21"/>
      <c r="H92" s="21"/>
      <c r="I92" s="21"/>
      <c r="J92" s="21">
        <f>SUM(J87:J91)</f>
        <v>-35889384.87335835</v>
      </c>
      <c r="K92" s="21"/>
      <c r="L92" s="21"/>
      <c r="M92" s="162"/>
      <c r="N92" s="166"/>
      <c r="O92" s="2"/>
      <c r="P92" s="164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</row>
    <row r="93" spans="1:63" ht="15">
      <c r="A93" s="75"/>
      <c r="D93" s="21"/>
      <c r="F93" s="21"/>
      <c r="G93" s="21"/>
      <c r="H93" s="34"/>
      <c r="I93" s="21"/>
      <c r="K93" s="21"/>
      <c r="L93" s="34"/>
      <c r="M93" s="162"/>
      <c r="N93" s="2"/>
      <c r="O93" s="2"/>
      <c r="P93" s="164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</row>
    <row r="94" spans="1:63" ht="15">
      <c r="A94" s="75">
        <v>25</v>
      </c>
      <c r="C94" s="49" t="s">
        <v>71</v>
      </c>
      <c r="D94" s="21" t="s">
        <v>72</v>
      </c>
      <c r="E94" s="104">
        <v>0</v>
      </c>
      <c r="F94" s="21"/>
      <c r="G94" s="21" t="str">
        <f>+G72</f>
        <v>TP</v>
      </c>
      <c r="H94" s="30">
        <f>+H72</f>
        <v>0.9833980098949245</v>
      </c>
      <c r="I94" s="21"/>
      <c r="J94" s="21">
        <f>+H94*E94</f>
        <v>0</v>
      </c>
      <c r="K94" s="21"/>
      <c r="L94" s="21"/>
      <c r="M94" s="162"/>
      <c r="N94" s="2"/>
      <c r="O94" s="2"/>
      <c r="P94" s="164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</row>
    <row r="95" spans="1:63" ht="15">
      <c r="A95" s="75"/>
      <c r="C95" s="18"/>
      <c r="D95" s="21"/>
      <c r="E95" s="21"/>
      <c r="F95" s="21"/>
      <c r="G95" s="21"/>
      <c r="H95" s="21"/>
      <c r="I95" s="21"/>
      <c r="J95" s="21"/>
      <c r="K95" s="21"/>
      <c r="L95" s="21"/>
      <c r="M95" s="162"/>
      <c r="N95" s="2"/>
      <c r="O95" s="2"/>
      <c r="P95" s="164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</row>
    <row r="96" spans="1:63" ht="15.75">
      <c r="A96" s="75"/>
      <c r="C96" s="18" t="s">
        <v>246</v>
      </c>
      <c r="D96" s="260"/>
      <c r="E96" s="21"/>
      <c r="F96" s="21"/>
      <c r="G96" s="21"/>
      <c r="H96" s="21"/>
      <c r="I96" s="21"/>
      <c r="J96" s="21"/>
      <c r="K96" s="21"/>
      <c r="L96" s="21"/>
      <c r="M96" s="162"/>
      <c r="N96" s="2"/>
      <c r="O96" s="2"/>
      <c r="P96" s="164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</row>
    <row r="97" spans="1:63" ht="15">
      <c r="A97" s="75">
        <v>26</v>
      </c>
      <c r="C97" s="18" t="s">
        <v>247</v>
      </c>
      <c r="D97" t="s">
        <v>243</v>
      </c>
      <c r="E97" s="21">
        <f>+E125/8</f>
        <v>13222536.243125001</v>
      </c>
      <c r="F97" s="21"/>
      <c r="G97" s="21"/>
      <c r="H97" s="34"/>
      <c r="I97" s="21"/>
      <c r="J97" s="21">
        <f>+J125/8</f>
        <v>5338497.113978279</v>
      </c>
      <c r="K97" s="16"/>
      <c r="L97" s="34"/>
      <c r="M97" s="162"/>
      <c r="N97" s="169"/>
      <c r="O97" s="165"/>
      <c r="P97" s="164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</row>
    <row r="98" spans="1:63" ht="15">
      <c r="A98" s="75">
        <v>27</v>
      </c>
      <c r="C98" s="18" t="s">
        <v>73</v>
      </c>
      <c r="D98" s="21" t="s">
        <v>478</v>
      </c>
      <c r="E98" s="238">
        <f>970393+112266</f>
        <v>1082659</v>
      </c>
      <c r="F98" s="21"/>
      <c r="G98" s="21" t="s">
        <v>74</v>
      </c>
      <c r="H98" s="30">
        <f>J190</f>
        <v>0.9765052125724185</v>
      </c>
      <c r="I98" s="21"/>
      <c r="J98" s="21">
        <f>+H98*E98</f>
        <v>1057222.156938442</v>
      </c>
      <c r="K98" s="21" t="s">
        <v>2</v>
      </c>
      <c r="L98" s="34"/>
      <c r="M98" s="162"/>
      <c r="N98" s="169"/>
      <c r="O98" s="165"/>
      <c r="P98" s="164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</row>
    <row r="99" spans="1:63" ht="15.75" thickBot="1">
      <c r="A99" s="75">
        <v>28</v>
      </c>
      <c r="C99" s="18" t="s">
        <v>365</v>
      </c>
      <c r="D99" s="21" t="s">
        <v>479</v>
      </c>
      <c r="E99" s="241">
        <f>24010709</f>
        <v>24010709</v>
      </c>
      <c r="F99" s="21" t="s">
        <v>2</v>
      </c>
      <c r="G99" s="21" t="s">
        <v>75</v>
      </c>
      <c r="H99" s="30">
        <f>+H68</f>
        <v>0.09670563582689003</v>
      </c>
      <c r="I99" s="21"/>
      <c r="J99" s="68">
        <f>+H99*E99</f>
        <v>2321970.880499431</v>
      </c>
      <c r="K99" s="21"/>
      <c r="L99" s="34"/>
      <c r="M99" s="162"/>
      <c r="N99" s="169"/>
      <c r="O99" s="165"/>
      <c r="P99" s="164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</row>
    <row r="100" spans="1:63" ht="15">
      <c r="A100" s="75">
        <v>29</v>
      </c>
      <c r="C100" s="18" t="s">
        <v>76</v>
      </c>
      <c r="D100" s="16"/>
      <c r="E100" s="21">
        <f>E97+E98+E99</f>
        <v>38315904.243125</v>
      </c>
      <c r="F100" s="16"/>
      <c r="G100" s="16"/>
      <c r="H100" s="16"/>
      <c r="I100" s="16"/>
      <c r="J100" s="21">
        <f>J97+J98+J99</f>
        <v>8717690.151416153</v>
      </c>
      <c r="K100" s="16"/>
      <c r="L100" s="16"/>
      <c r="M100" s="162"/>
      <c r="N100" s="166"/>
      <c r="O100" s="2"/>
      <c r="P100" s="164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</row>
    <row r="101" spans="4:63" ht="15.75" thickBot="1">
      <c r="D101" s="21"/>
      <c r="E101" s="83"/>
      <c r="F101" s="21"/>
      <c r="G101" s="21"/>
      <c r="H101" s="21"/>
      <c r="I101" s="21"/>
      <c r="J101" s="83"/>
      <c r="K101" s="21"/>
      <c r="L101" s="21"/>
      <c r="M101" s="162"/>
      <c r="N101" s="2"/>
      <c r="O101" s="2"/>
      <c r="P101" s="164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</row>
    <row r="102" spans="1:63" ht="15.75" thickBot="1">
      <c r="A102" s="75">
        <v>30</v>
      </c>
      <c r="C102" s="18" t="s">
        <v>198</v>
      </c>
      <c r="D102" s="21"/>
      <c r="E102" s="82">
        <f>+E100+E94+E92+E84</f>
        <v>1356509577.273125</v>
      </c>
      <c r="F102" s="21"/>
      <c r="G102" s="21"/>
      <c r="H102" s="34"/>
      <c r="I102" s="21"/>
      <c r="J102" s="82">
        <f>+J100+J94+J92+J84</f>
        <v>142462871.929659</v>
      </c>
      <c r="K102" s="21"/>
      <c r="L102" s="34"/>
      <c r="M102" s="2"/>
      <c r="N102" s="2"/>
      <c r="O102" s="2"/>
      <c r="P102" s="164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</row>
    <row r="103" spans="1:63" ht="15.75" thickTop="1">
      <c r="A103" s="75"/>
      <c r="C103" s="18"/>
      <c r="D103" s="21"/>
      <c r="E103" s="21"/>
      <c r="F103" s="21"/>
      <c r="G103" s="21"/>
      <c r="H103" s="21"/>
      <c r="I103" s="21"/>
      <c r="J103" s="21"/>
      <c r="K103" s="21"/>
      <c r="L103" s="21"/>
      <c r="M103" s="2"/>
      <c r="N103" s="2"/>
      <c r="O103" s="2"/>
      <c r="P103" s="164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</row>
    <row r="104" spans="1:63" ht="15">
      <c r="A104" s="75"/>
      <c r="C104" s="18"/>
      <c r="D104" s="21"/>
      <c r="E104" s="21"/>
      <c r="F104" s="21"/>
      <c r="G104" s="21"/>
      <c r="H104" s="21"/>
      <c r="I104" s="21"/>
      <c r="J104" s="21"/>
      <c r="K104" s="21"/>
      <c r="L104" s="21"/>
      <c r="M104" s="2"/>
      <c r="N104" s="2"/>
      <c r="O104" s="2"/>
      <c r="P104" s="164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</row>
    <row r="105" spans="1:63" ht="15">
      <c r="A105" s="75"/>
      <c r="C105" s="18"/>
      <c r="D105" s="21"/>
      <c r="E105" s="21"/>
      <c r="F105" s="21"/>
      <c r="G105" s="21"/>
      <c r="H105" s="21"/>
      <c r="I105" s="21"/>
      <c r="J105" s="21"/>
      <c r="K105" s="21"/>
      <c r="L105" s="21"/>
      <c r="M105" s="2"/>
      <c r="N105" s="2"/>
      <c r="O105" s="2"/>
      <c r="P105" s="164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</row>
    <row r="106" spans="1:63" ht="15">
      <c r="A106" s="75"/>
      <c r="C106" s="18" t="str">
        <f>C1</f>
        <v>Formula Rate - Non-Levelized </v>
      </c>
      <c r="D106" s="21"/>
      <c r="E106" s="21" t="str">
        <f>E1</f>
        <v>     Rate Formula Template</v>
      </c>
      <c r="F106" s="21"/>
      <c r="G106" s="21"/>
      <c r="J106" t="str">
        <f>+J1</f>
        <v>Statement BK</v>
      </c>
      <c r="K106" s="21"/>
      <c r="L106" s="21"/>
      <c r="M106" s="2"/>
      <c r="N106" s="2"/>
      <c r="O106" s="2"/>
      <c r="P106" s="164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</row>
    <row r="107" spans="1:63" ht="15">
      <c r="A107" s="75"/>
      <c r="C107" s="18"/>
      <c r="D107" s="21"/>
      <c r="E107" s="21" t="str">
        <f>E2</f>
        <v> Utilizing FERC Form 1 Data</v>
      </c>
      <c r="F107" s="21"/>
      <c r="G107" s="21"/>
      <c r="H107" s="21"/>
      <c r="J107" t="str">
        <f>+J2</f>
        <v>Schedule WES</v>
      </c>
      <c r="K107" s="21"/>
      <c r="L107" s="21"/>
      <c r="M107" s="2"/>
      <c r="N107" s="2"/>
      <c r="O107" s="2"/>
      <c r="P107" s="164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</row>
    <row r="108" spans="1:63" ht="15">
      <c r="A108" s="75"/>
      <c r="D108" s="21"/>
      <c r="E108" s="21"/>
      <c r="F108" s="21"/>
      <c r="G108" s="21"/>
      <c r="H108" s="21"/>
      <c r="I108" s="21" t="str">
        <f>I3</f>
        <v>For the 12 months ended 12/31/04</v>
      </c>
      <c r="K108" s="21"/>
      <c r="L108" s="21"/>
      <c r="M108" s="2"/>
      <c r="N108" s="2"/>
      <c r="O108" s="2"/>
      <c r="P108" s="164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</row>
    <row r="109" spans="1:63" ht="15">
      <c r="A109" s="75"/>
      <c r="D109" s="28"/>
      <c r="E109" s="35" t="str">
        <f>+E4</f>
        <v>KANSAS GAS AND ELECTRIC COMPANY</v>
      </c>
      <c r="F109" s="28"/>
      <c r="G109" s="28"/>
      <c r="H109" s="28"/>
      <c r="I109" s="21"/>
      <c r="J109" s="51" t="s">
        <v>397</v>
      </c>
      <c r="K109" s="21"/>
      <c r="L109" s="21"/>
      <c r="M109" s="2"/>
      <c r="N109" s="2"/>
      <c r="O109" s="2"/>
      <c r="P109" s="164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</row>
    <row r="110" spans="1:63" ht="15">
      <c r="A110" s="75"/>
      <c r="D110" s="28"/>
      <c r="E110" s="35" t="str">
        <f>+E5</f>
        <v>(WES)</v>
      </c>
      <c r="F110" s="28"/>
      <c r="G110" s="28"/>
      <c r="H110" s="28"/>
      <c r="I110" s="28"/>
      <c r="J110" s="28"/>
      <c r="K110" s="21"/>
      <c r="L110" s="21"/>
      <c r="M110" s="2"/>
      <c r="N110" s="2"/>
      <c r="O110" s="2"/>
      <c r="P110" s="164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</row>
    <row r="111" spans="1:63" ht="15">
      <c r="A111" s="75"/>
      <c r="C111" s="20" t="s">
        <v>32</v>
      </c>
      <c r="D111" s="20" t="s">
        <v>33</v>
      </c>
      <c r="E111" s="20" t="s">
        <v>34</v>
      </c>
      <c r="F111" s="21" t="s">
        <v>2</v>
      </c>
      <c r="G111" s="21"/>
      <c r="H111" s="23" t="s">
        <v>35</v>
      </c>
      <c r="I111" s="21"/>
      <c r="J111" s="24" t="s">
        <v>36</v>
      </c>
      <c r="K111" s="21"/>
      <c r="L111" s="21"/>
      <c r="M111" s="2"/>
      <c r="N111" s="162"/>
      <c r="O111" s="2"/>
      <c r="P111" s="164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</row>
    <row r="112" spans="1:63" ht="15.75">
      <c r="A112" s="75"/>
      <c r="C112" s="20"/>
      <c r="D112" s="3"/>
      <c r="E112" s="3"/>
      <c r="F112" s="3"/>
      <c r="G112" s="3"/>
      <c r="H112" s="3"/>
      <c r="I112" s="3"/>
      <c r="J112" s="3"/>
      <c r="K112" s="3"/>
      <c r="L112" s="53"/>
      <c r="M112" s="3"/>
      <c r="N112" s="3"/>
      <c r="O112" s="2"/>
      <c r="P112" s="164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</row>
    <row r="113" spans="1:63" ht="15.75">
      <c r="A113" s="75" t="s">
        <v>4</v>
      </c>
      <c r="C113" s="18"/>
      <c r="D113" s="46" t="s">
        <v>37</v>
      </c>
      <c r="E113" s="21"/>
      <c r="F113" s="21"/>
      <c r="G113" s="21"/>
      <c r="H113" s="52"/>
      <c r="I113" s="21"/>
      <c r="J113" s="53" t="s">
        <v>38</v>
      </c>
      <c r="K113" s="21"/>
      <c r="L113" s="53"/>
      <c r="M113" s="21"/>
      <c r="N113" s="52"/>
      <c r="O113" s="2"/>
      <c r="P113" s="164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</row>
    <row r="114" spans="1:63" ht="16.5" thickBot="1">
      <c r="A114" s="76" t="s">
        <v>6</v>
      </c>
      <c r="C114" s="18"/>
      <c r="D114" s="79" t="s">
        <v>39</v>
      </c>
      <c r="E114" s="53" t="s">
        <v>40</v>
      </c>
      <c r="F114" s="80"/>
      <c r="G114" s="53" t="s">
        <v>41</v>
      </c>
      <c r="H114" s="28"/>
      <c r="I114" s="80"/>
      <c r="J114" s="81" t="s">
        <v>42</v>
      </c>
      <c r="K114" s="21"/>
      <c r="L114" s="84"/>
      <c r="M114" s="85"/>
      <c r="N114" s="53"/>
      <c r="O114" s="2"/>
      <c r="P114" s="164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</row>
    <row r="115" spans="3:63" ht="15.75">
      <c r="C115" s="18"/>
      <c r="D115" s="21"/>
      <c r="E115" s="25"/>
      <c r="F115" s="26"/>
      <c r="G115" s="27"/>
      <c r="H115" s="28"/>
      <c r="I115" s="26"/>
      <c r="J115" s="25"/>
      <c r="K115" s="21"/>
      <c r="L115" s="21"/>
      <c r="M115" s="2"/>
      <c r="N115" s="2"/>
      <c r="O115" s="2"/>
      <c r="P115" s="164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</row>
    <row r="116" spans="1:63" ht="15.75">
      <c r="A116" s="75"/>
      <c r="C116" s="18" t="s">
        <v>77</v>
      </c>
      <c r="D116" s="260"/>
      <c r="E116" s="21"/>
      <c r="F116" s="21"/>
      <c r="G116" s="21"/>
      <c r="H116" s="21"/>
      <c r="I116" s="21"/>
      <c r="J116" s="21"/>
      <c r="K116" s="21"/>
      <c r="L116" s="21"/>
      <c r="M116" s="2"/>
      <c r="N116" s="2"/>
      <c r="O116" s="2"/>
      <c r="P116" s="164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</row>
    <row r="117" spans="1:63" ht="15">
      <c r="A117" s="75">
        <v>1</v>
      </c>
      <c r="C117" s="154" t="s">
        <v>465</v>
      </c>
      <c r="D117" s="21" t="s">
        <v>78</v>
      </c>
      <c r="E117" s="238">
        <f>+H362</f>
        <v>47839232.965</v>
      </c>
      <c r="F117" s="21"/>
      <c r="G117" s="21" t="s">
        <v>74</v>
      </c>
      <c r="H117" s="30">
        <f>J190</f>
        <v>0.9765052125724185</v>
      </c>
      <c r="I117" s="21"/>
      <c r="J117" s="21">
        <f aca="true" t="shared" si="2" ref="J117:J124">+H117*E117</f>
        <v>46715260.35578878</v>
      </c>
      <c r="K117" s="16"/>
      <c r="L117" s="21"/>
      <c r="M117" s="2"/>
      <c r="N117" s="2"/>
      <c r="O117" s="165"/>
      <c r="P117" s="2" t="s">
        <v>2</v>
      </c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</row>
    <row r="118" spans="1:63" ht="15">
      <c r="A118" s="75">
        <v>2</v>
      </c>
      <c r="C118" s="18" t="s">
        <v>79</v>
      </c>
      <c r="D118" s="21" t="s">
        <v>80</v>
      </c>
      <c r="E118" s="238">
        <v>9411523</v>
      </c>
      <c r="F118" s="21"/>
      <c r="G118" s="21" t="s">
        <v>2</v>
      </c>
      <c r="H118" s="30">
        <v>1</v>
      </c>
      <c r="I118" s="21"/>
      <c r="J118" s="21">
        <f t="shared" si="2"/>
        <v>9411523</v>
      </c>
      <c r="K118" s="16"/>
      <c r="M118" s="2"/>
      <c r="N118" s="278"/>
      <c r="O118" s="165"/>
      <c r="P118" s="2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</row>
    <row r="119" spans="1:63" ht="15">
      <c r="A119" s="75">
        <v>3</v>
      </c>
      <c r="C119" s="18" t="s">
        <v>81</v>
      </c>
      <c r="D119" s="21" t="s">
        <v>82</v>
      </c>
      <c r="E119" s="238">
        <v>68204671</v>
      </c>
      <c r="F119" s="21"/>
      <c r="G119" s="21" t="s">
        <v>50</v>
      </c>
      <c r="H119" s="30">
        <f>+H74</f>
        <v>0.08023804815854436</v>
      </c>
      <c r="I119" s="21"/>
      <c r="J119" s="21">
        <f t="shared" si="2"/>
        <v>5472609.676335674</v>
      </c>
      <c r="K119" s="21"/>
      <c r="M119" s="2"/>
      <c r="N119" s="277"/>
      <c r="O119" s="165"/>
      <c r="P119" s="164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</row>
    <row r="120" spans="1:63" ht="15">
      <c r="A120" s="75">
        <v>4</v>
      </c>
      <c r="C120" s="18" t="s">
        <v>83</v>
      </c>
      <c r="D120" s="21"/>
      <c r="E120" s="104">
        <v>-160868.4</v>
      </c>
      <c r="F120" s="21"/>
      <c r="G120" s="21" t="str">
        <f>+G119</f>
        <v>W/S</v>
      </c>
      <c r="H120" s="30">
        <f>+H119</f>
        <v>0.08023804815854436</v>
      </c>
      <c r="I120" s="21"/>
      <c r="J120" s="21">
        <f t="shared" si="2"/>
        <v>-12907.766426387978</v>
      </c>
      <c r="K120" s="21"/>
      <c r="M120" s="2"/>
      <c r="N120" s="10"/>
      <c r="O120" s="165"/>
      <c r="P120" s="164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</row>
    <row r="121" spans="1:63" ht="15">
      <c r="A121" s="75">
        <v>5</v>
      </c>
      <c r="C121" s="154" t="s">
        <v>263</v>
      </c>
      <c r="D121" s="58"/>
      <c r="E121" s="238">
        <f>880116+38127+94716.42</f>
        <v>1012959.42</v>
      </c>
      <c r="F121" s="21"/>
      <c r="G121" s="21" t="str">
        <f>+G120</f>
        <v>W/S</v>
      </c>
      <c r="H121" s="30">
        <f>+H120</f>
        <v>0.08023804815854436</v>
      </c>
      <c r="I121" s="21"/>
      <c r="J121" s="21">
        <f t="shared" si="2"/>
        <v>81277.88672461118</v>
      </c>
      <c r="K121" s="21"/>
      <c r="M121" s="2"/>
      <c r="N121" s="279"/>
      <c r="O121" s="165"/>
      <c r="P121" s="164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</row>
    <row r="122" spans="1:63" ht="15">
      <c r="A122" s="75" t="s">
        <v>256</v>
      </c>
      <c r="C122" s="154" t="s">
        <v>257</v>
      </c>
      <c r="D122" s="58"/>
      <c r="E122" s="104">
        <v>0</v>
      </c>
      <c r="F122" s="21"/>
      <c r="G122" s="160" t="str">
        <f>+G117</f>
        <v>TE</v>
      </c>
      <c r="H122" s="156">
        <f>+H117</f>
        <v>0.9765052125724185</v>
      </c>
      <c r="I122" s="21"/>
      <c r="J122" s="21">
        <f t="shared" si="2"/>
        <v>0</v>
      </c>
      <c r="K122" s="21"/>
      <c r="M122" s="2"/>
      <c r="N122" s="279"/>
      <c r="O122" s="165"/>
      <c r="P122" s="164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</row>
    <row r="123" spans="1:63" ht="15">
      <c r="A123" s="75">
        <v>6</v>
      </c>
      <c r="C123" s="18" t="s">
        <v>51</v>
      </c>
      <c r="D123" s="21" t="str">
        <f>+D75</f>
        <v>356.1</v>
      </c>
      <c r="E123" s="104">
        <v>0</v>
      </c>
      <c r="F123" s="21"/>
      <c r="G123" s="21" t="s">
        <v>137</v>
      </c>
      <c r="H123" s="30">
        <f>+H75</f>
        <v>0.08023804815854436</v>
      </c>
      <c r="I123" s="21"/>
      <c r="J123" s="21">
        <f t="shared" si="2"/>
        <v>0</v>
      </c>
      <c r="K123" s="21"/>
      <c r="M123" s="2"/>
      <c r="N123" s="10"/>
      <c r="O123" s="165"/>
      <c r="P123" s="164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</row>
    <row r="124" spans="1:63" ht="15.75" thickBot="1">
      <c r="A124" s="75">
        <v>7</v>
      </c>
      <c r="C124" s="18" t="s">
        <v>84</v>
      </c>
      <c r="D124" s="21"/>
      <c r="E124" s="105">
        <v>0</v>
      </c>
      <c r="F124" s="21"/>
      <c r="G124" s="21" t="s">
        <v>2</v>
      </c>
      <c r="H124" s="30">
        <v>1</v>
      </c>
      <c r="I124" s="21"/>
      <c r="J124" s="68">
        <f t="shared" si="2"/>
        <v>0</v>
      </c>
      <c r="K124" s="21"/>
      <c r="L124" s="21"/>
      <c r="M124" s="2"/>
      <c r="N124" s="2"/>
      <c r="O124" s="165"/>
      <c r="P124" s="164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</row>
    <row r="125" spans="1:63" ht="15">
      <c r="A125" s="75">
        <v>8</v>
      </c>
      <c r="C125" s="18" t="s">
        <v>262</v>
      </c>
      <c r="D125" s="21"/>
      <c r="E125" s="21">
        <f>+E117-E118+E119-E120-E121+E123+E124+E122</f>
        <v>105780289.94500001</v>
      </c>
      <c r="F125" s="21"/>
      <c r="G125" s="21"/>
      <c r="H125" s="21"/>
      <c r="I125" s="21"/>
      <c r="J125" s="21">
        <f>+J117-J118+J119-J120-J121+J123+J124+J122</f>
        <v>42707976.91182623</v>
      </c>
      <c r="K125" s="21"/>
      <c r="L125" s="21"/>
      <c r="M125" s="2"/>
      <c r="N125" s="166"/>
      <c r="O125" s="2"/>
      <c r="P125" s="164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</row>
    <row r="126" spans="1:63" ht="15">
      <c r="A126" s="75"/>
      <c r="D126" s="21"/>
      <c r="F126" s="21"/>
      <c r="G126" s="21"/>
      <c r="H126" s="21"/>
      <c r="I126" s="21"/>
      <c r="K126" s="21"/>
      <c r="L126" s="21"/>
      <c r="M126" s="2"/>
      <c r="N126" s="21"/>
      <c r="O126" s="2"/>
      <c r="P126" s="164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</row>
    <row r="127" spans="1:63" ht="15.75">
      <c r="A127" s="75"/>
      <c r="C127" s="18" t="s">
        <v>85</v>
      </c>
      <c r="D127" s="260"/>
      <c r="E127" s="21"/>
      <c r="F127" s="21"/>
      <c r="G127" s="21"/>
      <c r="H127" s="21"/>
      <c r="I127" s="21"/>
      <c r="J127" s="21"/>
      <c r="K127" s="21"/>
      <c r="L127" s="21"/>
      <c r="M127" s="2"/>
      <c r="N127" s="21"/>
      <c r="O127" s="2"/>
      <c r="P127" s="164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</row>
    <row r="128" spans="1:63" ht="15">
      <c r="A128" s="75">
        <v>9</v>
      </c>
      <c r="C128" s="154" t="s">
        <v>47</v>
      </c>
      <c r="D128" s="21" t="s">
        <v>86</v>
      </c>
      <c r="E128" s="240">
        <v>6301356</v>
      </c>
      <c r="F128" s="21"/>
      <c r="G128" s="21" t="s">
        <v>11</v>
      </c>
      <c r="H128" s="30">
        <f>+H94</f>
        <v>0.9833980098949245</v>
      </c>
      <c r="I128" s="21"/>
      <c r="J128" s="21">
        <f>+H128*E128</f>
        <v>6196740.950039442</v>
      </c>
      <c r="K128" s="21"/>
      <c r="L128" s="34"/>
      <c r="M128" s="2"/>
      <c r="N128" s="21"/>
      <c r="O128" s="165"/>
      <c r="P128" s="2" t="s">
        <v>2</v>
      </c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</row>
    <row r="129" spans="1:63" ht="15">
      <c r="A129" s="75">
        <v>10</v>
      </c>
      <c r="C129" s="18" t="s">
        <v>87</v>
      </c>
      <c r="D129" s="21" t="s">
        <v>88</v>
      </c>
      <c r="E129" s="238">
        <v>4650849</v>
      </c>
      <c r="F129" s="21"/>
      <c r="G129" s="21" t="s">
        <v>50</v>
      </c>
      <c r="H129" s="30">
        <f>+H119</f>
        <v>0.08023804815854436</v>
      </c>
      <c r="I129" s="21"/>
      <c r="J129" s="21">
        <f>+H129*E129</f>
        <v>373175.0460401179</v>
      </c>
      <c r="K129" s="21"/>
      <c r="L129" s="34"/>
      <c r="M129" s="2"/>
      <c r="N129" s="21"/>
      <c r="O129" s="165"/>
      <c r="P129" s="2" t="s">
        <v>2</v>
      </c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</row>
    <row r="130" spans="1:63" ht="15.75" thickBot="1">
      <c r="A130" s="75">
        <v>11</v>
      </c>
      <c r="C130" s="18" t="str">
        <f>+C123</f>
        <v>  Common</v>
      </c>
      <c r="D130" s="21" t="s">
        <v>89</v>
      </c>
      <c r="E130" s="105">
        <v>0</v>
      </c>
      <c r="F130" s="21"/>
      <c r="G130" s="21" t="s">
        <v>137</v>
      </c>
      <c r="H130" s="30">
        <f>+H123</f>
        <v>0.08023804815854436</v>
      </c>
      <c r="I130" s="21"/>
      <c r="J130" s="68">
        <f>+H130*E130</f>
        <v>0</v>
      </c>
      <c r="K130" s="21"/>
      <c r="L130" s="34"/>
      <c r="M130" s="2"/>
      <c r="N130" s="21"/>
      <c r="O130" s="165"/>
      <c r="P130" s="2" t="s">
        <v>2</v>
      </c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</row>
    <row r="131" spans="1:63" ht="15">
      <c r="A131" s="75">
        <v>12</v>
      </c>
      <c r="C131" s="18" t="s">
        <v>90</v>
      </c>
      <c r="D131" s="21"/>
      <c r="E131" s="21">
        <f>SUM(E128:E130)</f>
        <v>10952205</v>
      </c>
      <c r="F131" s="21"/>
      <c r="G131" s="21"/>
      <c r="H131" s="21"/>
      <c r="I131" s="21"/>
      <c r="J131" s="21">
        <f>SUM(J128:J130)</f>
        <v>6569915.996079559</v>
      </c>
      <c r="K131" s="21"/>
      <c r="L131" s="21"/>
      <c r="M131" s="2"/>
      <c r="N131" s="21"/>
      <c r="O131" s="2"/>
      <c r="P131" s="164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</row>
    <row r="132" spans="1:63" ht="15.75">
      <c r="A132" s="75"/>
      <c r="C132" s="18"/>
      <c r="D132" s="260"/>
      <c r="E132" s="21"/>
      <c r="F132" s="21"/>
      <c r="G132" s="21"/>
      <c r="H132" s="21"/>
      <c r="I132" s="21"/>
      <c r="J132" s="21"/>
      <c r="K132" s="21"/>
      <c r="L132" s="21"/>
      <c r="M132" s="2"/>
      <c r="N132" s="21"/>
      <c r="O132" s="2"/>
      <c r="P132" s="164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</row>
    <row r="133" spans="1:63" ht="15">
      <c r="A133" s="75" t="s">
        <v>2</v>
      </c>
      <c r="C133" s="18" t="s">
        <v>91</v>
      </c>
      <c r="D133" s="28"/>
      <c r="E133" s="21"/>
      <c r="F133" s="21"/>
      <c r="G133" s="21"/>
      <c r="H133" s="21"/>
      <c r="I133" s="21"/>
      <c r="J133" s="21"/>
      <c r="K133" s="21"/>
      <c r="L133" s="21"/>
      <c r="M133" s="2"/>
      <c r="N133" s="21"/>
      <c r="O133" s="2"/>
      <c r="P133" s="164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</row>
    <row r="134" spans="1:63" ht="15">
      <c r="A134" s="75"/>
      <c r="C134" s="18" t="s">
        <v>92</v>
      </c>
      <c r="D134" s="28"/>
      <c r="E134" s="28"/>
      <c r="F134" s="21"/>
      <c r="G134" s="21"/>
      <c r="H134" s="28"/>
      <c r="I134" s="21"/>
      <c r="J134" s="28"/>
      <c r="K134" s="21"/>
      <c r="L134" s="34"/>
      <c r="M134" s="2"/>
      <c r="N134" s="169"/>
      <c r="O134" s="165"/>
      <c r="P134" s="164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</row>
    <row r="135" spans="1:63" ht="15">
      <c r="A135" s="75">
        <v>13</v>
      </c>
      <c r="C135" s="18" t="s">
        <v>93</v>
      </c>
      <c r="D135" s="21" t="s">
        <v>480</v>
      </c>
      <c r="E135" s="238">
        <f>4541842+3880+13847-38355</f>
        <v>4521214</v>
      </c>
      <c r="F135" s="21"/>
      <c r="G135" s="21" t="s">
        <v>50</v>
      </c>
      <c r="H135" s="36">
        <f>+H129</f>
        <v>0.08023804815854436</v>
      </c>
      <c r="I135" s="21"/>
      <c r="J135" s="21">
        <f>+H135*E135</f>
        <v>362773.386667085</v>
      </c>
      <c r="K135" s="21"/>
      <c r="L135" s="34"/>
      <c r="M135" s="2"/>
      <c r="N135" s="169"/>
      <c r="O135" s="165"/>
      <c r="P135" s="164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</row>
    <row r="136" spans="1:63" ht="15">
      <c r="A136" s="75">
        <v>14</v>
      </c>
      <c r="C136" s="18" t="s">
        <v>94</v>
      </c>
      <c r="D136" s="21" t="str">
        <f>+D135</f>
        <v>263.i</v>
      </c>
      <c r="E136" s="104">
        <v>0</v>
      </c>
      <c r="F136" s="21"/>
      <c r="G136" s="21" t="str">
        <f>+G135</f>
        <v>W/S</v>
      </c>
      <c r="H136" s="36">
        <f>+H135</f>
        <v>0.08023804815854436</v>
      </c>
      <c r="I136" s="21"/>
      <c r="J136" s="21">
        <f>+H136*E136</f>
        <v>0</v>
      </c>
      <c r="K136" s="21"/>
      <c r="L136" s="34"/>
      <c r="M136" s="2"/>
      <c r="N136" s="169"/>
      <c r="O136" s="165"/>
      <c r="P136" s="164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</row>
    <row r="137" spans="1:63" ht="15">
      <c r="A137" s="75">
        <v>15</v>
      </c>
      <c r="C137" s="18" t="s">
        <v>95</v>
      </c>
      <c r="D137" s="21" t="s">
        <v>2</v>
      </c>
      <c r="E137" s="28"/>
      <c r="F137" s="21"/>
      <c r="G137" s="21"/>
      <c r="H137" s="28"/>
      <c r="I137" s="21"/>
      <c r="J137" s="28"/>
      <c r="K137" s="21"/>
      <c r="L137" s="34"/>
      <c r="M137" s="2"/>
      <c r="N137" s="169"/>
      <c r="O137" s="165"/>
      <c r="P137" s="164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</row>
    <row r="138" spans="1:63" ht="15">
      <c r="A138" s="75">
        <v>16</v>
      </c>
      <c r="C138" s="18" t="s">
        <v>96</v>
      </c>
      <c r="D138" s="21" t="s">
        <v>480</v>
      </c>
      <c r="E138" s="238">
        <v>29745923</v>
      </c>
      <c r="F138" s="21"/>
      <c r="G138" s="21" t="s">
        <v>75</v>
      </c>
      <c r="H138" s="36">
        <f>+H68</f>
        <v>0.09670563582689003</v>
      </c>
      <c r="I138" s="21"/>
      <c r="J138" s="21">
        <f>+H138*E138</f>
        <v>2876598.396972712</v>
      </c>
      <c r="K138" s="21"/>
      <c r="L138" s="34"/>
      <c r="M138" s="2"/>
      <c r="N138" s="169"/>
      <c r="O138" s="165"/>
      <c r="P138" s="164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</row>
    <row r="139" spans="1:63" ht="15">
      <c r="A139" s="75">
        <v>17</v>
      </c>
      <c r="C139" s="18" t="s">
        <v>97</v>
      </c>
      <c r="D139" s="21" t="s">
        <v>480</v>
      </c>
      <c r="E139" s="104">
        <v>0</v>
      </c>
      <c r="F139" s="21"/>
      <c r="G139" s="58" t="str">
        <f>+G87</f>
        <v>NA</v>
      </c>
      <c r="H139" s="161" t="s">
        <v>2</v>
      </c>
      <c r="I139" s="21"/>
      <c r="J139" s="21">
        <v>0</v>
      </c>
      <c r="K139" s="21"/>
      <c r="L139" s="34"/>
      <c r="M139" s="2"/>
      <c r="N139" s="169"/>
      <c r="O139" s="165"/>
      <c r="P139" s="164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</row>
    <row r="140" spans="1:63" ht="15">
      <c r="A140" s="75">
        <v>18</v>
      </c>
      <c r="C140" s="18" t="s">
        <v>450</v>
      </c>
      <c r="D140" s="21" t="str">
        <f>+D139</f>
        <v>263.i</v>
      </c>
      <c r="E140" s="238">
        <f>5015+907596</f>
        <v>912611</v>
      </c>
      <c r="F140" s="21"/>
      <c r="G140" s="21" t="str">
        <f>+G138</f>
        <v>GP</v>
      </c>
      <c r="H140" s="36">
        <f>+H138</f>
        <v>0.09670563582689003</v>
      </c>
      <c r="I140" s="21"/>
      <c r="J140" s="21">
        <f>+H140*E140</f>
        <v>88254.62701761394</v>
      </c>
      <c r="K140" s="21"/>
      <c r="L140" s="34"/>
      <c r="M140" s="2"/>
      <c r="N140" s="169"/>
      <c r="O140" s="165"/>
      <c r="P140" s="164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</row>
    <row r="141" spans="1:63" ht="15.75" thickBot="1">
      <c r="A141" s="75">
        <v>19</v>
      </c>
      <c r="C141" s="18" t="s">
        <v>98</v>
      </c>
      <c r="D141" s="21"/>
      <c r="E141" s="105">
        <v>0</v>
      </c>
      <c r="F141" s="21"/>
      <c r="G141" s="21" t="s">
        <v>75</v>
      </c>
      <c r="H141" s="36">
        <f>+H138</f>
        <v>0.09670563582689003</v>
      </c>
      <c r="I141" s="21"/>
      <c r="J141" s="68">
        <f>+H141*E141</f>
        <v>0</v>
      </c>
      <c r="K141" s="21"/>
      <c r="L141" s="34"/>
      <c r="M141" s="2"/>
      <c r="N141" s="169"/>
      <c r="O141" s="165"/>
      <c r="P141" s="164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</row>
    <row r="142" spans="1:63" ht="15">
      <c r="A142" s="75">
        <v>20</v>
      </c>
      <c r="C142" s="18" t="s">
        <v>99</v>
      </c>
      <c r="D142" s="21"/>
      <c r="E142" s="21">
        <f>SUM(E135:E141)</f>
        <v>35179748</v>
      </c>
      <c r="F142" s="21"/>
      <c r="G142" s="21"/>
      <c r="H142" s="36"/>
      <c r="I142" s="21"/>
      <c r="J142" s="21">
        <f>SUM(J135:J141)</f>
        <v>3327626.410657411</v>
      </c>
      <c r="K142" s="21"/>
      <c r="L142" s="21"/>
      <c r="M142" s="2"/>
      <c r="N142" s="166"/>
      <c r="O142" s="2"/>
      <c r="P142" s="164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</row>
    <row r="143" spans="1:63" ht="15">
      <c r="A143" s="75"/>
      <c r="C143" s="18"/>
      <c r="D143" s="21"/>
      <c r="E143" s="21"/>
      <c r="F143" s="21"/>
      <c r="G143" s="21"/>
      <c r="H143" s="36"/>
      <c r="I143" s="21"/>
      <c r="J143" s="21"/>
      <c r="K143" s="21"/>
      <c r="L143" s="21"/>
      <c r="M143" s="2"/>
      <c r="N143" s="166"/>
      <c r="O143" s="2"/>
      <c r="P143" s="164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</row>
    <row r="144" spans="1:63" ht="15">
      <c r="A144" s="75" t="s">
        <v>100</v>
      </c>
      <c r="C144" s="18"/>
      <c r="D144" s="21"/>
      <c r="E144" s="21"/>
      <c r="F144" s="21"/>
      <c r="G144" s="21"/>
      <c r="H144" s="36"/>
      <c r="I144" s="21"/>
      <c r="J144" s="21"/>
      <c r="K144" s="21"/>
      <c r="L144" s="21"/>
      <c r="M144" s="2"/>
      <c r="N144" s="2"/>
      <c r="O144" s="2"/>
      <c r="P144" s="164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</row>
    <row r="145" spans="1:63" ht="15">
      <c r="A145" s="75" t="s">
        <v>2</v>
      </c>
      <c r="C145" s="18" t="s">
        <v>101</v>
      </c>
      <c r="D145" s="21" t="s">
        <v>102</v>
      </c>
      <c r="E145" s="21"/>
      <c r="F145" s="21"/>
      <c r="H145" s="32"/>
      <c r="I145" s="21"/>
      <c r="K145" s="21"/>
      <c r="L145" s="28"/>
      <c r="M145" s="2"/>
      <c r="N145" s="2"/>
      <c r="O145" s="165"/>
      <c r="P145" s="2" t="s">
        <v>2</v>
      </c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</row>
    <row r="146" spans="1:63" ht="15">
      <c r="A146" s="75">
        <v>21</v>
      </c>
      <c r="C146" s="47" t="s">
        <v>231</v>
      </c>
      <c r="D146" s="21"/>
      <c r="E146" s="120">
        <f>IF(E281&gt;0,1-(((1-E282)*(1-E281))/(1-E282*E281*E283)),0)</f>
        <v>0.397775</v>
      </c>
      <c r="F146" s="21"/>
      <c r="H146" s="32"/>
      <c r="I146" s="21"/>
      <c r="K146" s="21"/>
      <c r="L146" s="28"/>
      <c r="M146" s="2"/>
      <c r="N146" s="2"/>
      <c r="O146" s="165"/>
      <c r="P146" s="2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</row>
    <row r="147" spans="1:63" ht="15">
      <c r="A147" s="75">
        <v>22</v>
      </c>
      <c r="C147" t="s">
        <v>232</v>
      </c>
      <c r="D147" s="21"/>
      <c r="E147" s="120">
        <f>IF(J225&gt;0,(E146/(1-E146))*(1-J222/J225),0)</f>
        <v>0.5392063275372162</v>
      </c>
      <c r="F147" s="21"/>
      <c r="H147" s="32"/>
      <c r="I147" s="21"/>
      <c r="K147" s="21"/>
      <c r="L147" s="28"/>
      <c r="M147" s="2"/>
      <c r="N147" s="2"/>
      <c r="O147" s="165"/>
      <c r="P147" s="2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</row>
    <row r="148" spans="1:63" ht="15">
      <c r="A148" s="75"/>
      <c r="C148" s="18" t="s">
        <v>238</v>
      </c>
      <c r="D148" s="21"/>
      <c r="E148" s="21"/>
      <c r="F148" s="21"/>
      <c r="H148" s="32"/>
      <c r="I148" s="21"/>
      <c r="K148" s="21"/>
      <c r="L148" s="28"/>
      <c r="M148" s="2"/>
      <c r="N148" s="2"/>
      <c r="O148" s="165"/>
      <c r="P148" s="2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</row>
    <row r="149" spans="1:63" ht="15">
      <c r="A149" s="75"/>
      <c r="C149" s="18" t="s">
        <v>235</v>
      </c>
      <c r="D149" s="21"/>
      <c r="E149" s="21"/>
      <c r="F149" s="21"/>
      <c r="H149" s="32"/>
      <c r="I149" s="21"/>
      <c r="K149" s="21"/>
      <c r="L149" s="28"/>
      <c r="M149" s="2"/>
      <c r="N149" s="2"/>
      <c r="O149" s="165"/>
      <c r="P149" s="2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</row>
    <row r="150" spans="1:63" ht="15.75">
      <c r="A150" s="75">
        <v>23</v>
      </c>
      <c r="C150" s="47" t="s">
        <v>234</v>
      </c>
      <c r="D150" s="260"/>
      <c r="E150" s="121">
        <f>IF(E146&gt;0,1/(1-E146),0)</f>
        <v>1.6605089459919464</v>
      </c>
      <c r="F150" s="21"/>
      <c r="H150" s="32"/>
      <c r="I150" s="21"/>
      <c r="K150" s="21"/>
      <c r="L150" s="28"/>
      <c r="M150" s="2"/>
      <c r="N150" s="2"/>
      <c r="O150" s="165"/>
      <c r="P150" s="2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</row>
    <row r="151" spans="1:63" ht="15">
      <c r="A151" s="75">
        <v>24</v>
      </c>
      <c r="C151" s="18" t="s">
        <v>233</v>
      </c>
      <c r="D151" s="21"/>
      <c r="E151" s="238">
        <v>-1912732</v>
      </c>
      <c r="F151" s="21" t="s">
        <v>2</v>
      </c>
      <c r="H151" s="32"/>
      <c r="I151" s="21"/>
      <c r="K151" s="21"/>
      <c r="L151" s="28"/>
      <c r="M151" s="2"/>
      <c r="N151" s="2"/>
      <c r="O151" s="165"/>
      <c r="P151" s="2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</row>
    <row r="152" spans="1:63" ht="15">
      <c r="A152" s="75"/>
      <c r="C152" s="18"/>
      <c r="D152" s="21"/>
      <c r="E152" s="21"/>
      <c r="F152" s="21"/>
      <c r="H152" s="32"/>
      <c r="I152" s="21"/>
      <c r="K152" s="21"/>
      <c r="L152" s="28"/>
      <c r="M152" s="2"/>
      <c r="N152" s="2"/>
      <c r="O152" s="165"/>
      <c r="P152" s="2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</row>
    <row r="153" spans="1:63" ht="15">
      <c r="A153" s="75">
        <v>25</v>
      </c>
      <c r="C153" s="47" t="s">
        <v>236</v>
      </c>
      <c r="D153" s="74"/>
      <c r="E153" s="21">
        <f>E147*E157</f>
        <v>49566615.09552141</v>
      </c>
      <c r="F153" s="21"/>
      <c r="G153" s="21" t="s">
        <v>46</v>
      </c>
      <c r="H153" s="36"/>
      <c r="I153" s="21"/>
      <c r="J153" s="21">
        <f>E147*J157</f>
        <v>5205567.624914896</v>
      </c>
      <c r="K153" s="21"/>
      <c r="L153" s="31" t="s">
        <v>2</v>
      </c>
      <c r="M153" s="2"/>
      <c r="N153" s="2"/>
      <c r="O153" s="2"/>
      <c r="P153" s="164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</row>
    <row r="154" spans="1:63" ht="15.75" thickBot="1">
      <c r="A154" s="75">
        <v>26</v>
      </c>
      <c r="C154" t="s">
        <v>241</v>
      </c>
      <c r="D154" s="74"/>
      <c r="E154" s="68">
        <f>E150*E151</f>
        <v>-3176108.5972850677</v>
      </c>
      <c r="F154" s="21"/>
      <c r="G154" t="s">
        <v>66</v>
      </c>
      <c r="H154" s="36">
        <f>H84</f>
        <v>0.10146094956655055</v>
      </c>
      <c r="I154" s="21"/>
      <c r="J154" s="68">
        <f>H154*E154</f>
        <v>-322250.9942070279</v>
      </c>
      <c r="K154" s="21"/>
      <c r="L154" s="31"/>
      <c r="M154" s="2"/>
      <c r="N154" s="2"/>
      <c r="O154" s="2"/>
      <c r="P154" s="164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</row>
    <row r="155" spans="1:63" ht="15">
      <c r="A155" s="75">
        <v>27</v>
      </c>
      <c r="C155" s="56" t="s">
        <v>209</v>
      </c>
      <c r="D155" t="s">
        <v>242</v>
      </c>
      <c r="E155" s="118">
        <f>+E153+E154</f>
        <v>46390506.49823634</v>
      </c>
      <c r="F155" s="21"/>
      <c r="G155" s="21" t="s">
        <v>2</v>
      </c>
      <c r="H155" s="36" t="s">
        <v>2</v>
      </c>
      <c r="I155" s="21"/>
      <c r="J155" s="118">
        <f>+J153+J154</f>
        <v>4883316.630707867</v>
      </c>
      <c r="K155" s="21"/>
      <c r="L155" s="21"/>
      <c r="M155" s="2"/>
      <c r="N155" s="2"/>
      <c r="O155" s="2"/>
      <c r="P155" s="164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</row>
    <row r="156" spans="1:63" ht="15">
      <c r="A156" s="75" t="s">
        <v>2</v>
      </c>
      <c r="D156" s="37"/>
      <c r="E156" s="21"/>
      <c r="F156" s="21"/>
      <c r="G156" s="21"/>
      <c r="H156" s="36"/>
      <c r="I156" s="21"/>
      <c r="J156" s="21"/>
      <c r="K156" s="21"/>
      <c r="L156" s="21"/>
      <c r="M156" s="2"/>
      <c r="N156" s="2"/>
      <c r="O156" s="2"/>
      <c r="P156" s="164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</row>
    <row r="157" spans="1:63" ht="15">
      <c r="A157" s="75">
        <v>28</v>
      </c>
      <c r="C157" s="18" t="s">
        <v>103</v>
      </c>
      <c r="D157" s="34"/>
      <c r="E157" s="21">
        <f>+$J225*E102</f>
        <v>91925136.19399303</v>
      </c>
      <c r="F157" s="21"/>
      <c r="G157" s="21" t="s">
        <v>46</v>
      </c>
      <c r="H157" s="32"/>
      <c r="I157" s="21"/>
      <c r="J157" s="21">
        <f>+$J225*J102</f>
        <v>9654129.336150281</v>
      </c>
      <c r="K157" s="21"/>
      <c r="L157" s="28"/>
      <c r="M157" s="2"/>
      <c r="N157" s="2"/>
      <c r="O157" s="165"/>
      <c r="P157" s="2" t="s">
        <v>2</v>
      </c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</row>
    <row r="158" spans="1:63" ht="15">
      <c r="A158" s="75"/>
      <c r="C158" s="56" t="s">
        <v>104</v>
      </c>
      <c r="D158" s="28"/>
      <c r="E158" s="21"/>
      <c r="F158" s="21"/>
      <c r="G158" s="21"/>
      <c r="H158" s="32"/>
      <c r="I158" s="21"/>
      <c r="J158" s="21"/>
      <c r="K158" s="21"/>
      <c r="L158" s="34"/>
      <c r="M158" s="2"/>
      <c r="N158" s="2"/>
      <c r="O158" s="165"/>
      <c r="P158" s="2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</row>
    <row r="159" spans="1:63" ht="15.75" thickBot="1">
      <c r="A159" s="75"/>
      <c r="C159" s="18"/>
      <c r="D159" s="28"/>
      <c r="E159" s="68"/>
      <c r="F159" s="21"/>
      <c r="G159" s="21"/>
      <c r="H159" s="32"/>
      <c r="I159" s="21"/>
      <c r="J159" s="68"/>
      <c r="K159" s="21"/>
      <c r="L159" s="34"/>
      <c r="M159" s="2"/>
      <c r="N159" s="2"/>
      <c r="O159" s="165"/>
      <c r="P159" s="2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</row>
    <row r="160" spans="1:63" ht="15.75" thickBot="1">
      <c r="A160" s="75">
        <v>29</v>
      </c>
      <c r="C160" s="18" t="s">
        <v>237</v>
      </c>
      <c r="D160" s="21"/>
      <c r="E160" s="82">
        <f>+E157+E155+E142+E131+E125</f>
        <v>290227885.6372294</v>
      </c>
      <c r="F160" s="21"/>
      <c r="G160" s="21"/>
      <c r="H160" s="21"/>
      <c r="I160" s="21"/>
      <c r="J160" s="82">
        <f>+J157+J155+J142+J131+J125</f>
        <v>67142965.28542134</v>
      </c>
      <c r="K160" s="16"/>
      <c r="L160" s="16"/>
      <c r="M160" s="162"/>
      <c r="N160" s="162"/>
      <c r="O160" s="162"/>
      <c r="P160" s="164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</row>
    <row r="161" spans="1:63" ht="15.75" thickTop="1">
      <c r="A161" s="75"/>
      <c r="C161" s="28"/>
      <c r="D161" s="28"/>
      <c r="E161" s="28"/>
      <c r="F161" s="28"/>
      <c r="G161" s="28"/>
      <c r="H161" s="28"/>
      <c r="I161" s="28"/>
      <c r="J161" s="28"/>
      <c r="K161" s="21"/>
      <c r="L161" s="21"/>
      <c r="M161" s="2"/>
      <c r="N161" s="2"/>
      <c r="O161" s="165"/>
      <c r="P161" s="2" t="s">
        <v>2</v>
      </c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/>
    </row>
    <row r="162" spans="1:63" ht="15">
      <c r="A162" s="75"/>
      <c r="C162" s="28"/>
      <c r="D162" s="28"/>
      <c r="E162" s="28"/>
      <c r="F162" s="28"/>
      <c r="G162" s="28"/>
      <c r="H162" s="28"/>
      <c r="I162" s="28"/>
      <c r="J162" s="28"/>
      <c r="K162" s="21"/>
      <c r="L162" s="21"/>
      <c r="M162" s="2"/>
      <c r="N162" s="2"/>
      <c r="O162" s="165"/>
      <c r="P162" s="2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</row>
    <row r="163" spans="1:63" ht="15">
      <c r="A163" s="75"/>
      <c r="C163" s="28"/>
      <c r="D163" s="28"/>
      <c r="E163" s="28"/>
      <c r="F163" s="28"/>
      <c r="G163" s="28"/>
      <c r="H163" s="28"/>
      <c r="I163" s="28"/>
      <c r="J163" s="28"/>
      <c r="K163" s="21"/>
      <c r="L163" s="21"/>
      <c r="M163" s="2"/>
      <c r="N163" s="2"/>
      <c r="O163" s="165"/>
      <c r="P163" s="2" t="s">
        <v>2</v>
      </c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</row>
    <row r="164" spans="1:63" ht="15">
      <c r="A164" s="75"/>
      <c r="C164" s="18" t="str">
        <f>C1</f>
        <v>Formula Rate - Non-Levelized </v>
      </c>
      <c r="D164" s="28"/>
      <c r="E164" s="28" t="str">
        <f>E1</f>
        <v>     Rate Formula Template</v>
      </c>
      <c r="F164" s="28"/>
      <c r="G164" s="28"/>
      <c r="J164" t="str">
        <f>+J1</f>
        <v>Statement BK</v>
      </c>
      <c r="K164" s="21"/>
      <c r="L164" s="21"/>
      <c r="M164" s="2"/>
      <c r="N164" s="2"/>
      <c r="O164" s="2"/>
      <c r="P164" s="164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</row>
    <row r="165" spans="1:63" ht="15">
      <c r="A165" s="75"/>
      <c r="C165" s="18"/>
      <c r="D165" s="28"/>
      <c r="E165" s="28" t="str">
        <f>E2</f>
        <v> Utilizing FERC Form 1 Data</v>
      </c>
      <c r="F165" s="28"/>
      <c r="G165" s="28"/>
      <c r="H165" s="28"/>
      <c r="J165" t="str">
        <f>+J2</f>
        <v>Schedule WES</v>
      </c>
      <c r="K165" s="21"/>
      <c r="L165" s="21"/>
      <c r="M165" s="2"/>
      <c r="N165" s="2"/>
      <c r="O165" s="2"/>
      <c r="P165" s="164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3"/>
    </row>
    <row r="166" spans="1:63" ht="15">
      <c r="A166" s="75"/>
      <c r="C166" s="28"/>
      <c r="D166" s="28"/>
      <c r="E166" s="28"/>
      <c r="F166" s="28"/>
      <c r="G166" s="28"/>
      <c r="H166" s="28"/>
      <c r="I166" s="28" t="str">
        <f>I3</f>
        <v>For the 12 months ended 12/31/04</v>
      </c>
      <c r="K166" s="21"/>
      <c r="L166" s="21"/>
      <c r="M166" s="2"/>
      <c r="N166" s="2"/>
      <c r="O166" s="2"/>
      <c r="P166" s="164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</row>
    <row r="167" spans="1:63" ht="15">
      <c r="A167" s="75"/>
      <c r="D167" s="28"/>
      <c r="E167" s="35" t="str">
        <f>+E4</f>
        <v>KANSAS GAS AND ELECTRIC COMPANY</v>
      </c>
      <c r="F167" s="28"/>
      <c r="G167" s="28"/>
      <c r="H167" s="28"/>
      <c r="I167" s="28"/>
      <c r="J167" s="51" t="s">
        <v>398</v>
      </c>
      <c r="K167" s="21"/>
      <c r="L167" s="21"/>
      <c r="M167" s="2"/>
      <c r="N167" s="2"/>
      <c r="O167" s="2"/>
      <c r="P167" s="164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</row>
    <row r="168" spans="1:63" ht="15">
      <c r="A168" s="75"/>
      <c r="D168" s="18"/>
      <c r="E168" s="35" t="str">
        <f>+E5</f>
        <v>(WES)</v>
      </c>
      <c r="F168" s="18"/>
      <c r="G168" s="18"/>
      <c r="H168" s="18"/>
      <c r="I168" s="18"/>
      <c r="J168" s="18"/>
      <c r="K168" s="18"/>
      <c r="L168" s="18"/>
      <c r="M168" s="164"/>
      <c r="N168" s="164"/>
      <c r="O168" s="164"/>
      <c r="P168" s="164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</row>
    <row r="169" spans="1:63" ht="15.75">
      <c r="A169" s="75"/>
      <c r="C169" s="28"/>
      <c r="D169" s="248" t="s">
        <v>382</v>
      </c>
      <c r="E169" s="249"/>
      <c r="F169" s="250"/>
      <c r="G169" s="250"/>
      <c r="H169" s="16"/>
      <c r="I169" s="16"/>
      <c r="J169" s="16"/>
      <c r="K169" s="21"/>
      <c r="L169" s="21"/>
      <c r="M169" s="2"/>
      <c r="N169" s="162"/>
      <c r="O169" s="2"/>
      <c r="P169" s="164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  <c r="BI169" s="163"/>
      <c r="BJ169" s="163"/>
      <c r="BK169" s="163"/>
    </row>
    <row r="170" spans="1:63" ht="15.75">
      <c r="A170" s="75"/>
      <c r="C170" s="29"/>
      <c r="D170" s="16"/>
      <c r="E170" s="16"/>
      <c r="F170" s="16"/>
      <c r="G170" s="16"/>
      <c r="H170" s="16"/>
      <c r="I170" s="16"/>
      <c r="J170" s="16"/>
      <c r="K170" s="21"/>
      <c r="L170" s="21"/>
      <c r="M170" s="2"/>
      <c r="N170" s="162"/>
      <c r="O170" s="2"/>
      <c r="P170" s="164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</row>
    <row r="171" spans="1:63" ht="15.75">
      <c r="A171" s="75" t="s">
        <v>4</v>
      </c>
      <c r="C171" s="29"/>
      <c r="D171" s="16"/>
      <c r="E171" s="16"/>
      <c r="F171" s="16"/>
      <c r="G171" s="16"/>
      <c r="H171" s="16"/>
      <c r="I171" s="16"/>
      <c r="J171" s="16"/>
      <c r="K171" s="21"/>
      <c r="L171" s="21"/>
      <c r="M171" s="2"/>
      <c r="N171" s="162"/>
      <c r="O171" s="2"/>
      <c r="P171" s="164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</row>
    <row r="172" spans="1:63" ht="15.75" thickBot="1">
      <c r="A172" s="76" t="s">
        <v>6</v>
      </c>
      <c r="C172" s="141" t="s">
        <v>359</v>
      </c>
      <c r="D172" s="142"/>
      <c r="E172" s="142"/>
      <c r="F172" s="142"/>
      <c r="G172" s="142"/>
      <c r="H172" s="142"/>
      <c r="I172" s="143"/>
      <c r="J172" s="143"/>
      <c r="K172" s="21"/>
      <c r="L172" s="21"/>
      <c r="M172" s="2"/>
      <c r="N172" s="162"/>
      <c r="O172" s="2"/>
      <c r="P172" s="164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</row>
    <row r="173" spans="1:63" ht="15">
      <c r="A173" s="75"/>
      <c r="C173" s="141"/>
      <c r="D173" s="142"/>
      <c r="E173" s="142"/>
      <c r="F173" s="142"/>
      <c r="G173" s="142"/>
      <c r="H173" s="142"/>
      <c r="I173" s="142"/>
      <c r="J173" s="142"/>
      <c r="K173" s="21"/>
      <c r="L173" s="21"/>
      <c r="M173" s="2"/>
      <c r="N173" s="162"/>
      <c r="O173" s="2"/>
      <c r="P173" s="164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</row>
    <row r="174" spans="1:63" ht="15">
      <c r="A174" s="75">
        <v>1</v>
      </c>
      <c r="C174" s="117" t="s">
        <v>113</v>
      </c>
      <c r="D174" s="142"/>
      <c r="E174" s="58"/>
      <c r="F174" s="58"/>
      <c r="G174" s="58"/>
      <c r="H174" s="58"/>
      <c r="I174" s="58"/>
      <c r="J174" s="104">
        <f>E64</f>
        <v>293250747</v>
      </c>
      <c r="K174" s="21"/>
      <c r="L174" s="21"/>
      <c r="M174" s="2"/>
      <c r="N174" s="162"/>
      <c r="O174" s="2"/>
      <c r="P174" s="164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  <c r="BI174" s="163"/>
      <c r="BJ174" s="163"/>
      <c r="BK174" s="163"/>
    </row>
    <row r="175" spans="1:63" ht="15">
      <c r="A175" s="75">
        <v>2</v>
      </c>
      <c r="C175" s="117" t="s">
        <v>114</v>
      </c>
      <c r="D175" s="144"/>
      <c r="E175" s="144"/>
      <c r="F175" s="144"/>
      <c r="G175" s="144"/>
      <c r="H175" s="144"/>
      <c r="I175" s="144"/>
      <c r="J175" s="104">
        <v>0</v>
      </c>
      <c r="K175" s="21"/>
      <c r="L175" s="21"/>
      <c r="M175" s="2"/>
      <c r="N175" s="162"/>
      <c r="O175" s="2"/>
      <c r="P175" s="164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  <c r="AS175" s="163"/>
      <c r="AT175" s="163"/>
      <c r="AU175" s="163"/>
      <c r="AV175" s="163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3"/>
    </row>
    <row r="176" spans="1:63" ht="15.75" thickBot="1">
      <c r="A176" s="75">
        <v>3</v>
      </c>
      <c r="C176" s="145" t="s">
        <v>115</v>
      </c>
      <c r="D176" s="146"/>
      <c r="E176" s="147"/>
      <c r="F176" s="58"/>
      <c r="G176" s="58"/>
      <c r="H176" s="148"/>
      <c r="I176" s="58"/>
      <c r="J176" s="241">
        <v>4868546</v>
      </c>
      <c r="K176" s="21"/>
      <c r="L176" s="21"/>
      <c r="M176" s="2"/>
      <c r="N176" s="162"/>
      <c r="O176" s="2"/>
      <c r="P176" s="164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</row>
    <row r="177" spans="1:63" ht="15">
      <c r="A177" s="75">
        <v>4</v>
      </c>
      <c r="C177" s="117" t="s">
        <v>116</v>
      </c>
      <c r="D177" s="142"/>
      <c r="E177" s="58"/>
      <c r="F177" s="58"/>
      <c r="G177" s="58"/>
      <c r="H177" s="148"/>
      <c r="I177" s="58"/>
      <c r="J177" s="58">
        <f>J174-J175-J176</f>
        <v>288382201</v>
      </c>
      <c r="K177" s="21"/>
      <c r="L177" s="21"/>
      <c r="M177" s="2"/>
      <c r="N177" s="162"/>
      <c r="O177" s="2"/>
      <c r="P177" s="164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3"/>
      <c r="BK177" s="163"/>
    </row>
    <row r="178" spans="1:63" ht="15">
      <c r="A178" s="75"/>
      <c r="C178" s="144"/>
      <c r="D178" s="142"/>
      <c r="E178" s="58"/>
      <c r="F178" s="58"/>
      <c r="G178" s="58"/>
      <c r="H178" s="148"/>
      <c r="I178" s="58"/>
      <c r="J178" s="143"/>
      <c r="K178" s="21"/>
      <c r="L178" s="21"/>
      <c r="M178" s="2"/>
      <c r="N178" s="162"/>
      <c r="O178" s="2"/>
      <c r="P178" s="164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</row>
    <row r="179" spans="1:63" ht="15">
      <c r="A179" s="75">
        <v>5</v>
      </c>
      <c r="C179" s="117" t="s">
        <v>117</v>
      </c>
      <c r="D179" s="149"/>
      <c r="E179" s="150"/>
      <c r="F179" s="150"/>
      <c r="G179" s="150"/>
      <c r="H179" s="151"/>
      <c r="I179" s="58" t="s">
        <v>118</v>
      </c>
      <c r="J179" s="152">
        <f>IF(J174&gt;0,J177/J174,0)</f>
        <v>0.9833980098949245</v>
      </c>
      <c r="K179" s="21"/>
      <c r="L179" s="21"/>
      <c r="M179" s="2"/>
      <c r="N179" s="162"/>
      <c r="O179" s="2"/>
      <c r="P179" s="164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</row>
    <row r="180" spans="1:63" ht="15">
      <c r="A180" s="75"/>
      <c r="C180" s="143"/>
      <c r="D180" s="143"/>
      <c r="E180" s="143"/>
      <c r="F180" s="143"/>
      <c r="G180" s="143"/>
      <c r="H180" s="143"/>
      <c r="I180" s="143"/>
      <c r="J180" s="143"/>
      <c r="K180" s="21"/>
      <c r="L180" s="21"/>
      <c r="M180" s="2"/>
      <c r="N180" s="162"/>
      <c r="O180" s="2"/>
      <c r="P180" s="164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</row>
    <row r="181" spans="1:63" ht="15.75">
      <c r="A181" s="75"/>
      <c r="C181" s="153"/>
      <c r="D181" s="142"/>
      <c r="E181" s="142"/>
      <c r="F181" s="142"/>
      <c r="G181" s="142"/>
      <c r="H181" s="142"/>
      <c r="I181" s="142"/>
      <c r="J181" s="142"/>
      <c r="K181" s="21"/>
      <c r="L181" s="21"/>
      <c r="M181" s="2"/>
      <c r="N181" s="162"/>
      <c r="O181" s="2"/>
      <c r="P181" s="164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</row>
    <row r="182" spans="1:63" ht="15">
      <c r="A182" s="75"/>
      <c r="C182" s="154" t="s">
        <v>105</v>
      </c>
      <c r="D182" s="143"/>
      <c r="E182" s="143"/>
      <c r="F182" s="143"/>
      <c r="G182" s="143"/>
      <c r="H182" s="143"/>
      <c r="I182" s="143"/>
      <c r="J182" s="143"/>
      <c r="K182" s="21"/>
      <c r="L182" s="21"/>
      <c r="M182" s="2"/>
      <c r="N182" s="162"/>
      <c r="O182" s="2"/>
      <c r="P182" s="164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</row>
    <row r="183" spans="1:63" ht="15">
      <c r="A183" s="75"/>
      <c r="C183" s="143"/>
      <c r="D183" s="143"/>
      <c r="E183" s="143"/>
      <c r="F183" s="143"/>
      <c r="G183" s="143"/>
      <c r="H183" s="143"/>
      <c r="I183" s="143"/>
      <c r="J183" s="143"/>
      <c r="K183" s="21"/>
      <c r="L183" s="21"/>
      <c r="M183" s="2"/>
      <c r="N183" s="162"/>
      <c r="O183" s="2"/>
      <c r="P183" s="164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</row>
    <row r="184" spans="1:63" ht="15">
      <c r="A184" s="75">
        <v>6</v>
      </c>
      <c r="C184" s="144" t="s">
        <v>106</v>
      </c>
      <c r="D184" s="144"/>
      <c r="E184" s="142"/>
      <c r="F184" s="142"/>
      <c r="G184" s="142"/>
      <c r="H184" s="155"/>
      <c r="I184" s="142"/>
      <c r="J184" s="104">
        <f>E117</f>
        <v>47839232.965</v>
      </c>
      <c r="K184" s="21"/>
      <c r="L184" s="21"/>
      <c r="M184" s="2"/>
      <c r="N184" s="2"/>
      <c r="O184" s="2"/>
      <c r="P184" s="164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</row>
    <row r="185" spans="1:63" ht="15.75" thickBot="1">
      <c r="A185" s="75">
        <v>7</v>
      </c>
      <c r="C185" s="145" t="s">
        <v>107</v>
      </c>
      <c r="D185" s="146"/>
      <c r="E185" s="147"/>
      <c r="F185" s="147"/>
      <c r="G185" s="58"/>
      <c r="H185" s="58"/>
      <c r="I185" s="58"/>
      <c r="J185" s="105">
        <v>335313</v>
      </c>
      <c r="K185" s="21"/>
      <c r="L185" s="21"/>
      <c r="M185" s="2"/>
      <c r="N185" s="2"/>
      <c r="O185" s="2"/>
      <c r="P185" s="164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</row>
    <row r="186" spans="1:63" ht="15">
      <c r="A186" s="75">
        <v>8</v>
      </c>
      <c r="C186" s="117" t="s">
        <v>108</v>
      </c>
      <c r="D186" s="149"/>
      <c r="E186" s="150"/>
      <c r="F186" s="150"/>
      <c r="G186" s="150"/>
      <c r="H186" s="151"/>
      <c r="I186" s="150"/>
      <c r="J186" s="58">
        <f>+J184-J185</f>
        <v>47503919.965</v>
      </c>
      <c r="K186" s="28"/>
      <c r="L186" s="28"/>
      <c r="M186" s="2"/>
      <c r="N186" s="2"/>
      <c r="O186" s="2"/>
      <c r="P186" s="164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</row>
    <row r="187" spans="1:63" ht="15">
      <c r="A187" s="75"/>
      <c r="C187" s="117"/>
      <c r="D187" s="142"/>
      <c r="E187" s="58"/>
      <c r="F187" s="58"/>
      <c r="G187" s="58"/>
      <c r="H187" s="58"/>
      <c r="I187" s="144"/>
      <c r="J187" s="143"/>
      <c r="K187" s="28"/>
      <c r="L187" s="28"/>
      <c r="M187" s="2"/>
      <c r="N187" s="2"/>
      <c r="O187" s="2"/>
      <c r="P187" s="164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</row>
    <row r="188" spans="1:63" ht="15">
      <c r="A188" s="75">
        <v>9</v>
      </c>
      <c r="C188" s="117" t="s">
        <v>109</v>
      </c>
      <c r="D188" s="142"/>
      <c r="E188" s="58"/>
      <c r="F188" s="58"/>
      <c r="G188" s="58"/>
      <c r="H188" s="58"/>
      <c r="I188" s="58"/>
      <c r="J188" s="156">
        <f>IF(J184&gt;0,J186/J184,0)</f>
        <v>0.9929908366163538</v>
      </c>
      <c r="K188" s="28"/>
      <c r="L188" s="28"/>
      <c r="M188" s="2"/>
      <c r="N188" s="2"/>
      <c r="O188" s="2"/>
      <c r="P188" s="164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</row>
    <row r="189" spans="1:63" ht="15">
      <c r="A189" s="75">
        <v>10</v>
      </c>
      <c r="C189" s="117" t="s">
        <v>110</v>
      </c>
      <c r="D189" s="142"/>
      <c r="E189" s="58"/>
      <c r="F189" s="58"/>
      <c r="G189" s="58"/>
      <c r="H189" s="58"/>
      <c r="I189" s="142" t="s">
        <v>11</v>
      </c>
      <c r="J189" s="157">
        <f>J179</f>
        <v>0.9833980098949245</v>
      </c>
      <c r="K189" s="28"/>
      <c r="L189" s="28"/>
      <c r="M189" s="2"/>
      <c r="N189" s="2"/>
      <c r="O189" s="2"/>
      <c r="P189" s="164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</row>
    <row r="190" spans="1:63" ht="15">
      <c r="A190" s="75">
        <v>11</v>
      </c>
      <c r="C190" s="117" t="s">
        <v>111</v>
      </c>
      <c r="D190" s="142"/>
      <c r="E190" s="142"/>
      <c r="F190" s="142"/>
      <c r="G190" s="142"/>
      <c r="H190" s="142"/>
      <c r="I190" s="142" t="s">
        <v>112</v>
      </c>
      <c r="J190" s="158">
        <f>+J189*J188</f>
        <v>0.9765052125724185</v>
      </c>
      <c r="K190" s="28"/>
      <c r="L190" s="28"/>
      <c r="M190" s="2"/>
      <c r="N190" s="2"/>
      <c r="O190" s="2"/>
      <c r="P190" s="164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</row>
    <row r="191" spans="1:63" ht="15">
      <c r="A191" s="75"/>
      <c r="K191" s="28"/>
      <c r="L191" s="28"/>
      <c r="M191" s="2"/>
      <c r="N191" s="2"/>
      <c r="O191" s="2"/>
      <c r="P191" s="164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</row>
    <row r="192" spans="1:63" ht="15">
      <c r="A192" s="75"/>
      <c r="C192" s="28"/>
      <c r="D192" s="16"/>
      <c r="E192" s="21"/>
      <c r="F192" s="21"/>
      <c r="G192" s="21"/>
      <c r="H192" s="22"/>
      <c r="I192" s="21"/>
      <c r="K192" s="28"/>
      <c r="L192" s="28"/>
      <c r="M192" s="2"/>
      <c r="N192" s="2"/>
      <c r="O192" s="2"/>
      <c r="P192" s="164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63"/>
      <c r="BG192" s="163"/>
      <c r="BH192" s="163"/>
      <c r="BI192" s="163"/>
      <c r="BJ192" s="163"/>
      <c r="BK192" s="163"/>
    </row>
    <row r="193" spans="1:63" ht="15.75">
      <c r="A193" s="75" t="s">
        <v>2</v>
      </c>
      <c r="C193" s="18" t="s">
        <v>119</v>
      </c>
      <c r="D193" s="21"/>
      <c r="E193" s="260"/>
      <c r="F193" s="21"/>
      <c r="G193" s="21"/>
      <c r="H193" s="21"/>
      <c r="I193" s="21"/>
      <c r="J193" s="21"/>
      <c r="K193" s="21"/>
      <c r="L193" s="21"/>
      <c r="M193" s="2"/>
      <c r="N193" s="2"/>
      <c r="O193" s="2"/>
      <c r="P193" s="164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3"/>
    </row>
    <row r="194" spans="1:63" ht="15.75" thickBot="1">
      <c r="A194" s="75" t="s">
        <v>2</v>
      </c>
      <c r="C194" s="18"/>
      <c r="D194" s="68" t="s">
        <v>120</v>
      </c>
      <c r="E194" s="69" t="s">
        <v>121</v>
      </c>
      <c r="F194" s="69" t="s">
        <v>11</v>
      </c>
      <c r="G194" s="21"/>
      <c r="H194" s="69" t="s">
        <v>122</v>
      </c>
      <c r="I194" s="21"/>
      <c r="J194" s="21"/>
      <c r="K194" s="21"/>
      <c r="L194" s="21"/>
      <c r="M194" s="2"/>
      <c r="N194" s="2"/>
      <c r="O194" s="2"/>
      <c r="P194" s="164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</row>
    <row r="195" spans="1:63" ht="15">
      <c r="A195" s="75">
        <v>12</v>
      </c>
      <c r="C195" s="18" t="s">
        <v>45</v>
      </c>
      <c r="D195" s="21" t="s">
        <v>123</v>
      </c>
      <c r="E195" s="238">
        <f>7375185+21558+187825+1053361</f>
        <v>8637929</v>
      </c>
      <c r="F195" s="39">
        <v>0</v>
      </c>
      <c r="G195" s="39"/>
      <c r="H195" s="21">
        <f>E195*F195</f>
        <v>0</v>
      </c>
      <c r="I195" s="21"/>
      <c r="J195" s="21"/>
      <c r="K195" s="21"/>
      <c r="L195" s="21"/>
      <c r="M195" s="2"/>
      <c r="N195" s="2"/>
      <c r="O195" s="2"/>
      <c r="P195" s="164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3"/>
    </row>
    <row r="196" spans="1:63" ht="15">
      <c r="A196" s="75">
        <v>13</v>
      </c>
      <c r="C196" s="18" t="s">
        <v>47</v>
      </c>
      <c r="D196" s="21" t="s">
        <v>124</v>
      </c>
      <c r="E196" s="238">
        <v>1902224</v>
      </c>
      <c r="F196" s="39">
        <f>+J179</f>
        <v>0.9833980098949245</v>
      </c>
      <c r="G196" s="39"/>
      <c r="H196" s="21">
        <f>E196*F196</f>
        <v>1870643.2959743629</v>
      </c>
      <c r="I196" s="21"/>
      <c r="J196" s="21"/>
      <c r="K196" s="21"/>
      <c r="L196" s="21"/>
      <c r="M196" s="162"/>
      <c r="N196" s="2"/>
      <c r="O196" s="2"/>
      <c r="P196" s="164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</row>
    <row r="197" spans="1:63" ht="15">
      <c r="A197" s="75">
        <v>14</v>
      </c>
      <c r="C197" s="18" t="s">
        <v>48</v>
      </c>
      <c r="D197" s="21" t="s">
        <v>125</v>
      </c>
      <c r="E197" s="238">
        <v>8714220</v>
      </c>
      <c r="F197" s="39">
        <v>0</v>
      </c>
      <c r="G197" s="39"/>
      <c r="H197" s="21">
        <f>E197*F197</f>
        <v>0</v>
      </c>
      <c r="I197" s="21"/>
      <c r="J197" s="71" t="s">
        <v>126</v>
      </c>
      <c r="K197" s="21"/>
      <c r="L197" s="21"/>
      <c r="M197" s="2"/>
      <c r="N197" s="2"/>
      <c r="O197" s="2"/>
      <c r="P197" s="164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</row>
    <row r="198" spans="1:63" ht="15.75" thickBot="1">
      <c r="A198" s="75">
        <v>15</v>
      </c>
      <c r="C198" s="18" t="s">
        <v>127</v>
      </c>
      <c r="D198" s="21" t="s">
        <v>128</v>
      </c>
      <c r="E198" s="241">
        <f>3553598+501217+4481</f>
        <v>4059296</v>
      </c>
      <c r="F198" s="39">
        <v>0</v>
      </c>
      <c r="G198" s="39"/>
      <c r="H198" s="68">
        <f>E198*F198</f>
        <v>0</v>
      </c>
      <c r="I198" s="21"/>
      <c r="J198" s="76" t="s">
        <v>129</v>
      </c>
      <c r="K198" s="21"/>
      <c r="L198" s="21"/>
      <c r="M198" s="2"/>
      <c r="N198" s="2"/>
      <c r="O198" s="2"/>
      <c r="P198" s="164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</row>
    <row r="199" spans="1:63" ht="15">
      <c r="A199" s="75">
        <v>16</v>
      </c>
      <c r="C199" s="18" t="s">
        <v>252</v>
      </c>
      <c r="D199" s="21"/>
      <c r="E199" s="21">
        <f>SUM(E195:E198)</f>
        <v>23313669</v>
      </c>
      <c r="F199" s="21"/>
      <c r="G199" s="21"/>
      <c r="H199" s="21">
        <f>SUM(H195:H198)</f>
        <v>1870643.2959743629</v>
      </c>
      <c r="I199" s="20" t="s">
        <v>130</v>
      </c>
      <c r="J199" s="30">
        <f>IF(H199&gt;0,H199/E199,0)</f>
        <v>0.08023804815854436</v>
      </c>
      <c r="K199" s="22" t="s">
        <v>130</v>
      </c>
      <c r="L199" s="21" t="s">
        <v>244</v>
      </c>
      <c r="M199" s="2"/>
      <c r="N199" s="2"/>
      <c r="O199" s="2"/>
      <c r="P199" s="164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</row>
    <row r="200" spans="1:63" ht="15">
      <c r="A200" s="75" t="s">
        <v>2</v>
      </c>
      <c r="C200" s="18" t="s">
        <v>2</v>
      </c>
      <c r="D200" s="21" t="s">
        <v>2</v>
      </c>
      <c r="F200" s="21"/>
      <c r="G200" s="21"/>
      <c r="K200" s="28"/>
      <c r="L200" s="21"/>
      <c r="M200" s="2"/>
      <c r="N200" s="2"/>
      <c r="O200" s="2"/>
      <c r="P200" s="164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3"/>
    </row>
    <row r="201" spans="1:63" ht="15">
      <c r="A201" s="75"/>
      <c r="C201" s="18"/>
      <c r="D201" s="21"/>
      <c r="E201" s="21"/>
      <c r="F201" s="21"/>
      <c r="G201" s="21"/>
      <c r="H201" s="21"/>
      <c r="I201" s="21"/>
      <c r="J201" s="21"/>
      <c r="K201" s="21"/>
      <c r="L201" s="21"/>
      <c r="M201" s="2" t="s">
        <v>2</v>
      </c>
      <c r="N201" s="2"/>
      <c r="O201" s="2"/>
      <c r="P201" s="164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</row>
    <row r="202" spans="1:63" ht="15.75">
      <c r="A202" s="75"/>
      <c r="C202" s="18" t="s">
        <v>131</v>
      </c>
      <c r="D202" s="21"/>
      <c r="E202" s="260"/>
      <c r="F202" s="21"/>
      <c r="G202" s="21"/>
      <c r="H202" s="21"/>
      <c r="I202" s="21"/>
      <c r="J202" s="21"/>
      <c r="K202" s="21"/>
      <c r="L202" s="21"/>
      <c r="M202" s="2"/>
      <c r="N202" s="2"/>
      <c r="O202" s="2"/>
      <c r="P202" s="164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</row>
    <row r="203" spans="1:63" ht="15.75">
      <c r="A203" s="75"/>
      <c r="C203" s="18"/>
      <c r="D203" s="21"/>
      <c r="E203" s="46" t="s">
        <v>121</v>
      </c>
      <c r="F203" s="21"/>
      <c r="G203" s="21"/>
      <c r="H203" s="22" t="s">
        <v>132</v>
      </c>
      <c r="I203" s="32" t="s">
        <v>2</v>
      </c>
      <c r="J203" s="34" t="str">
        <f>+J197</f>
        <v>W&amp;S Allocator</v>
      </c>
      <c r="K203" s="28"/>
      <c r="L203" s="28"/>
      <c r="M203" s="2"/>
      <c r="N203" s="2"/>
      <c r="O203" s="2"/>
      <c r="P203" s="164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</row>
    <row r="204" spans="1:63" ht="15">
      <c r="A204" s="75">
        <v>17</v>
      </c>
      <c r="C204" s="18" t="s">
        <v>133</v>
      </c>
      <c r="D204" s="21" t="s">
        <v>134</v>
      </c>
      <c r="E204" s="238">
        <v>3064002555</v>
      </c>
      <c r="F204" s="21"/>
      <c r="G204" s="28"/>
      <c r="H204" s="75" t="s">
        <v>135</v>
      </c>
      <c r="I204" s="54"/>
      <c r="J204" s="75" t="s">
        <v>136</v>
      </c>
      <c r="K204" s="21"/>
      <c r="L204" s="20" t="s">
        <v>137</v>
      </c>
      <c r="M204" s="2"/>
      <c r="N204" s="2"/>
      <c r="O204" s="2"/>
      <c r="P204" s="164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</row>
    <row r="205" spans="1:63" ht="15">
      <c r="A205" s="75">
        <v>18</v>
      </c>
      <c r="C205" s="18" t="s">
        <v>138</v>
      </c>
      <c r="D205" s="21" t="s">
        <v>139</v>
      </c>
      <c r="E205" s="104">
        <v>0</v>
      </c>
      <c r="F205" s="21"/>
      <c r="G205" s="28"/>
      <c r="H205" s="36">
        <f>IF(E207&gt;0,E204/E207,0)</f>
        <v>1</v>
      </c>
      <c r="I205" s="22" t="s">
        <v>140</v>
      </c>
      <c r="J205" s="36">
        <f>J199</f>
        <v>0.08023804815854436</v>
      </c>
      <c r="K205" s="32" t="s">
        <v>130</v>
      </c>
      <c r="L205" s="36">
        <f>J205*H205</f>
        <v>0.08023804815854436</v>
      </c>
      <c r="M205" s="2"/>
      <c r="N205" s="2"/>
      <c r="O205" s="2"/>
      <c r="P205" s="164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</row>
    <row r="206" spans="1:63" ht="15.75" thickBot="1">
      <c r="A206" s="75">
        <v>19</v>
      </c>
      <c r="C206" s="88" t="s">
        <v>141</v>
      </c>
      <c r="D206" s="68" t="s">
        <v>142</v>
      </c>
      <c r="E206" s="105">
        <v>0</v>
      </c>
      <c r="F206" s="21"/>
      <c r="G206" s="21"/>
      <c r="H206" s="21" t="s">
        <v>2</v>
      </c>
      <c r="I206" s="21"/>
      <c r="J206" s="21"/>
      <c r="K206" s="21"/>
      <c r="L206" s="21"/>
      <c r="M206" s="2"/>
      <c r="N206" s="2"/>
      <c r="O206" s="2"/>
      <c r="P206" s="164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3"/>
    </row>
    <row r="207" spans="1:63" ht="15">
      <c r="A207" s="75">
        <v>20</v>
      </c>
      <c r="C207" s="18" t="s">
        <v>210</v>
      </c>
      <c r="D207" s="21"/>
      <c r="E207" s="21">
        <f>E204+E205+E206</f>
        <v>3064002555</v>
      </c>
      <c r="F207" s="21"/>
      <c r="G207" s="21"/>
      <c r="H207" s="21"/>
      <c r="I207" s="21"/>
      <c r="J207" s="21"/>
      <c r="K207" s="21"/>
      <c r="L207" s="21"/>
      <c r="M207" s="2"/>
      <c r="N207" s="2"/>
      <c r="O207" s="2"/>
      <c r="P207" s="164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</row>
    <row r="208" spans="1:63" ht="15">
      <c r="A208" s="75"/>
      <c r="C208" s="18" t="s">
        <v>2</v>
      </c>
      <c r="D208" s="21"/>
      <c r="F208" s="21"/>
      <c r="G208" s="21"/>
      <c r="H208" s="21"/>
      <c r="I208" s="21"/>
      <c r="J208" s="21" t="s">
        <v>2</v>
      </c>
      <c r="K208" s="21" t="s">
        <v>2</v>
      </c>
      <c r="L208" s="21"/>
      <c r="M208" s="2"/>
      <c r="N208" s="2"/>
      <c r="O208" s="2"/>
      <c r="P208" s="164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163"/>
      <c r="BH208" s="163"/>
      <c r="BI208" s="163"/>
      <c r="BJ208" s="163"/>
      <c r="BK208" s="163"/>
    </row>
    <row r="209" spans="1:63" ht="15">
      <c r="A209" s="75"/>
      <c r="C209" s="18"/>
      <c r="D209" s="21"/>
      <c r="F209" s="21"/>
      <c r="G209" s="21"/>
      <c r="H209" s="21"/>
      <c r="I209" s="21"/>
      <c r="J209" s="21"/>
      <c r="K209" s="21"/>
      <c r="L209" s="21"/>
      <c r="M209" s="2"/>
      <c r="N209" s="2"/>
      <c r="O209" s="2"/>
      <c r="P209" s="164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63"/>
      <c r="BD209" s="163"/>
      <c r="BE209" s="163"/>
      <c r="BF209" s="163"/>
      <c r="BG209" s="163"/>
      <c r="BH209" s="163"/>
      <c r="BI209" s="163"/>
      <c r="BJ209" s="163"/>
      <c r="BK209" s="163"/>
    </row>
    <row r="210" spans="1:63" ht="16.5" thickBot="1">
      <c r="A210" s="75"/>
      <c r="B210" s="3"/>
      <c r="C210" s="49" t="s">
        <v>143</v>
      </c>
      <c r="D210" s="21"/>
      <c r="E210" s="260"/>
      <c r="F210" s="21"/>
      <c r="G210" s="21"/>
      <c r="H210" s="21"/>
      <c r="I210" s="21"/>
      <c r="J210" s="69" t="s">
        <v>121</v>
      </c>
      <c r="K210" s="21"/>
      <c r="L210" s="21"/>
      <c r="M210" s="2"/>
      <c r="N210" s="2"/>
      <c r="O210" s="2"/>
      <c r="P210" s="164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</row>
    <row r="211" spans="1:63" ht="15">
      <c r="A211" s="75">
        <v>21</v>
      </c>
      <c r="B211" s="3"/>
      <c r="C211" s="3"/>
      <c r="D211" s="21" t="s">
        <v>481</v>
      </c>
      <c r="E211" s="21"/>
      <c r="F211" s="21"/>
      <c r="G211" s="21"/>
      <c r="H211" s="21"/>
      <c r="I211" s="21"/>
      <c r="J211" s="243">
        <f>27873155+561455+810299</f>
        <v>29244909</v>
      </c>
      <c r="K211" s="21"/>
      <c r="L211" s="21"/>
      <c r="M211" s="2"/>
      <c r="N211" s="2"/>
      <c r="O211" s="2"/>
      <c r="P211" s="164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</row>
    <row r="212" spans="1:63" ht="15">
      <c r="A212" s="75"/>
      <c r="C212" s="18"/>
      <c r="D212" s="21"/>
      <c r="E212" s="21"/>
      <c r="F212" s="21"/>
      <c r="G212" s="21"/>
      <c r="H212" s="21"/>
      <c r="I212" s="21"/>
      <c r="J212" s="21"/>
      <c r="K212" s="21"/>
      <c r="L212" s="21"/>
      <c r="M212" s="2"/>
      <c r="N212" s="2"/>
      <c r="O212" s="2"/>
      <c r="P212" s="164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</row>
    <row r="213" spans="1:63" ht="15">
      <c r="A213" s="75">
        <v>22</v>
      </c>
      <c r="B213" s="3"/>
      <c r="C213" s="274" t="s">
        <v>33</v>
      </c>
      <c r="D213" s="21" t="s">
        <v>144</v>
      </c>
      <c r="E213" s="21"/>
      <c r="F213" s="21"/>
      <c r="G213" s="21"/>
      <c r="H213" s="21"/>
      <c r="I213" s="58"/>
      <c r="J213" s="106">
        <v>75000000</v>
      </c>
      <c r="K213" s="21"/>
      <c r="L213" s="21"/>
      <c r="M213" s="2"/>
      <c r="N213" s="2"/>
      <c r="O213" s="2"/>
      <c r="P213" s="164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3"/>
    </row>
    <row r="214" spans="1:63" ht="15">
      <c r="A214" s="75"/>
      <c r="B214" s="3"/>
      <c r="C214" s="49"/>
      <c r="D214" s="21"/>
      <c r="E214" s="21"/>
      <c r="F214" s="21"/>
      <c r="G214" s="21"/>
      <c r="H214" s="21"/>
      <c r="I214" s="21"/>
      <c r="J214" s="21"/>
      <c r="K214" s="21"/>
      <c r="L214" s="21"/>
      <c r="M214" s="2"/>
      <c r="N214" s="2"/>
      <c r="O214" s="2"/>
      <c r="P214" s="164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</row>
    <row r="215" spans="1:63" ht="15.75">
      <c r="A215" s="75"/>
      <c r="B215" s="3"/>
      <c r="C215" s="49" t="s">
        <v>145</v>
      </c>
      <c r="D215" s="21"/>
      <c r="E215" s="260"/>
      <c r="F215" s="21"/>
      <c r="G215" s="21"/>
      <c r="H215" s="21"/>
      <c r="I215" s="21"/>
      <c r="J215" s="21"/>
      <c r="K215" s="21"/>
      <c r="L215" s="21"/>
      <c r="M215" s="2"/>
      <c r="N215" s="2"/>
      <c r="O215" s="2"/>
      <c r="P215" s="164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</row>
    <row r="216" spans="1:63" ht="15">
      <c r="A216" s="75">
        <v>23</v>
      </c>
      <c r="B216" s="3"/>
      <c r="C216" s="49"/>
      <c r="D216" s="21" t="s">
        <v>482</v>
      </c>
      <c r="E216" s="3"/>
      <c r="F216" s="21"/>
      <c r="G216" s="21"/>
      <c r="H216" s="21"/>
      <c r="I216" s="21"/>
      <c r="J216" s="238">
        <v>1083312695</v>
      </c>
      <c r="K216" s="21"/>
      <c r="L216" s="21"/>
      <c r="M216" s="2"/>
      <c r="N216" s="2"/>
      <c r="O216" s="2"/>
      <c r="P216" s="164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  <c r="BI216" s="163"/>
      <c r="BJ216" s="163"/>
      <c r="BK216" s="163"/>
    </row>
    <row r="217" spans="1:63" ht="15">
      <c r="A217" s="75">
        <v>24</v>
      </c>
      <c r="B217" s="3"/>
      <c r="C217" s="49"/>
      <c r="D217" s="21" t="s">
        <v>254</v>
      </c>
      <c r="E217" s="21"/>
      <c r="F217" s="21"/>
      <c r="G217" s="21"/>
      <c r="H217" s="21"/>
      <c r="I217" s="21"/>
      <c r="J217" s="123">
        <f>-E223</f>
        <v>0</v>
      </c>
      <c r="K217" s="21"/>
      <c r="L217" s="21"/>
      <c r="M217" s="2"/>
      <c r="N217" s="2"/>
      <c r="O217" s="2"/>
      <c r="P217" s="164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</row>
    <row r="218" spans="1:63" ht="15.75" thickBot="1">
      <c r="A218" s="75">
        <v>25</v>
      </c>
      <c r="B218" s="3"/>
      <c r="C218" s="49"/>
      <c r="D218" s="21" t="s">
        <v>485</v>
      </c>
      <c r="E218" s="21"/>
      <c r="F218" s="21"/>
      <c r="G218" s="21"/>
      <c r="H218" s="21"/>
      <c r="I218" s="21"/>
      <c r="J218" s="105">
        <v>0</v>
      </c>
      <c r="K218" s="21"/>
      <c r="L218" s="21"/>
      <c r="M218" s="2"/>
      <c r="N218" s="2"/>
      <c r="O218" s="2"/>
      <c r="P218" s="164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</row>
    <row r="219" spans="1:63" ht="15">
      <c r="A219" s="75">
        <v>26</v>
      </c>
      <c r="B219" s="3"/>
      <c r="C219" s="3"/>
      <c r="D219" s="21" t="s">
        <v>146</v>
      </c>
      <c r="E219" s="3" t="s">
        <v>147</v>
      </c>
      <c r="F219" s="3"/>
      <c r="G219" s="3"/>
      <c r="H219" s="3"/>
      <c r="I219" s="3"/>
      <c r="J219" s="21">
        <f>+J216+J217+J218</f>
        <v>1083312695</v>
      </c>
      <c r="K219" s="21"/>
      <c r="L219" s="21"/>
      <c r="M219" s="2"/>
      <c r="N219" s="2"/>
      <c r="O219" s="2"/>
      <c r="P219" s="164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</row>
    <row r="220" spans="1:63" ht="15">
      <c r="A220" s="75"/>
      <c r="C220" s="18"/>
      <c r="D220" s="21"/>
      <c r="E220" s="21"/>
      <c r="F220" s="21"/>
      <c r="G220" s="21"/>
      <c r="H220" s="22" t="s">
        <v>148</v>
      </c>
      <c r="I220" s="21"/>
      <c r="J220" s="21"/>
      <c r="K220" s="21"/>
      <c r="L220" s="21"/>
      <c r="M220" s="2"/>
      <c r="N220" s="2"/>
      <c r="O220" s="2"/>
      <c r="P220" s="164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</row>
    <row r="221" spans="1:63" ht="16.5" thickBot="1">
      <c r="A221" s="75"/>
      <c r="C221" s="18"/>
      <c r="D221" s="260"/>
      <c r="E221" s="61" t="s">
        <v>121</v>
      </c>
      <c r="F221" s="61" t="s">
        <v>149</v>
      </c>
      <c r="G221" s="21"/>
      <c r="H221" s="61" t="s">
        <v>150</v>
      </c>
      <c r="I221" s="21"/>
      <c r="J221" s="61" t="s">
        <v>151</v>
      </c>
      <c r="K221" s="21"/>
      <c r="L221" s="21"/>
      <c r="M221" s="2"/>
      <c r="N221" s="2"/>
      <c r="O221" s="2"/>
      <c r="P221" s="164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3"/>
    </row>
    <row r="222" spans="1:63" ht="15">
      <c r="A222" s="75">
        <v>27</v>
      </c>
      <c r="C222" s="49" t="s">
        <v>483</v>
      </c>
      <c r="E222" s="238">
        <f>487427500+779149004</f>
        <v>1266576504</v>
      </c>
      <c r="F222" s="89">
        <f>IF($E$225&gt;0,E222/$E$225,0)</f>
        <v>0.5389941383359667</v>
      </c>
      <c r="G222" s="40"/>
      <c r="H222" s="40">
        <f>IF(E222&gt;0,J211/E222,0)</f>
        <v>0.02308972960388976</v>
      </c>
      <c r="J222" s="40">
        <f>H222*F222</f>
        <v>0.012445228912259023</v>
      </c>
      <c r="K222" s="41" t="s">
        <v>152</v>
      </c>
      <c r="M222" s="2"/>
      <c r="N222" s="2"/>
      <c r="O222" s="2"/>
      <c r="P222" s="164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</row>
    <row r="223" spans="1:63" ht="15">
      <c r="A223" s="75">
        <v>28</v>
      </c>
      <c r="C223" s="49" t="s">
        <v>484</v>
      </c>
      <c r="E223" s="104">
        <v>0</v>
      </c>
      <c r="F223" s="89">
        <f>IF($E$225&gt;0,E223/$E$225,0)</f>
        <v>0</v>
      </c>
      <c r="G223" s="40"/>
      <c r="H223" s="40">
        <f>IF(E223&gt;0,J213/E223,0)</f>
        <v>0</v>
      </c>
      <c r="J223" s="40">
        <f>H223*F223</f>
        <v>0</v>
      </c>
      <c r="K223" s="21"/>
      <c r="M223" s="2"/>
      <c r="N223" s="2"/>
      <c r="O223" s="2"/>
      <c r="P223" s="164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</row>
    <row r="224" spans="1:63" ht="15.75" thickBot="1">
      <c r="A224" s="75">
        <v>29</v>
      </c>
      <c r="C224" s="49" t="s">
        <v>153</v>
      </c>
      <c r="E224" s="68">
        <f>J219</f>
        <v>1083312695</v>
      </c>
      <c r="F224" s="89">
        <f>IF($E$225&gt;0,E224/$E$225,0)</f>
        <v>0.4610058616640333</v>
      </c>
      <c r="G224" s="40"/>
      <c r="H224" s="239">
        <f>0.115+0.005</f>
        <v>0.12000000000000001</v>
      </c>
      <c r="J224" s="122">
        <f>H224*F224</f>
        <v>0.055320703399684</v>
      </c>
      <c r="K224" s="21"/>
      <c r="M224" s="2"/>
      <c r="N224" s="2"/>
      <c r="O224" s="2"/>
      <c r="P224" s="164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</row>
    <row r="225" spans="1:63" ht="15">
      <c r="A225" s="75">
        <v>30</v>
      </c>
      <c r="C225" s="18" t="s">
        <v>248</v>
      </c>
      <c r="E225" s="21">
        <f>E224+E223+E222</f>
        <v>2349889199</v>
      </c>
      <c r="F225" s="21" t="s">
        <v>2</v>
      </c>
      <c r="G225" s="21"/>
      <c r="H225" s="21"/>
      <c r="I225" s="21"/>
      <c r="J225" s="40">
        <f>SUM(J222:J224)</f>
        <v>0.06776593231194303</v>
      </c>
      <c r="K225" s="41" t="s">
        <v>154</v>
      </c>
      <c r="M225" s="2"/>
      <c r="N225" s="2"/>
      <c r="O225" s="2"/>
      <c r="P225" s="164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</row>
    <row r="226" spans="6:63" ht="15">
      <c r="F226" s="21"/>
      <c r="G226" s="21"/>
      <c r="H226" s="21"/>
      <c r="I226" s="21"/>
      <c r="M226" s="2"/>
      <c r="N226" s="2"/>
      <c r="O226" s="2"/>
      <c r="P226" s="164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</row>
    <row r="227" spans="1:63" ht="15">
      <c r="A227" s="75"/>
      <c r="C227" s="28"/>
      <c r="E227" s="28"/>
      <c r="F227" s="28"/>
      <c r="G227" s="28"/>
      <c r="H227" s="28"/>
      <c r="I227" s="28"/>
      <c r="J227" s="28"/>
      <c r="K227" s="28"/>
      <c r="L227" s="21"/>
      <c r="M227" s="2"/>
      <c r="N227" s="2"/>
      <c r="O227" s="2"/>
      <c r="P227" s="164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</row>
    <row r="228" spans="1:63" ht="15">
      <c r="A228" s="75"/>
      <c r="C228" s="49" t="s">
        <v>155</v>
      </c>
      <c r="D228" s="51"/>
      <c r="E228" s="51"/>
      <c r="F228" s="51"/>
      <c r="G228" s="51"/>
      <c r="H228" s="51"/>
      <c r="I228" s="51"/>
      <c r="J228" s="51"/>
      <c r="K228" s="51"/>
      <c r="L228" s="51"/>
      <c r="M228" s="21"/>
      <c r="N228" s="22"/>
      <c r="O228" s="2"/>
      <c r="P228" s="164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</row>
    <row r="229" spans="1:63" ht="15.75" thickBot="1">
      <c r="A229" s="75"/>
      <c r="C229" s="49"/>
      <c r="D229" s="49"/>
      <c r="E229" s="49"/>
      <c r="F229" s="49"/>
      <c r="G229" s="49"/>
      <c r="H229" s="49"/>
      <c r="I229" s="49"/>
      <c r="J229" s="61" t="s">
        <v>211</v>
      </c>
      <c r="K229" s="111"/>
      <c r="O229" s="2"/>
      <c r="P229" s="164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</row>
    <row r="230" spans="1:63" ht="15">
      <c r="A230" s="75"/>
      <c r="C230" s="49" t="s">
        <v>156</v>
      </c>
      <c r="D230" s="51"/>
      <c r="E230" s="51" t="s">
        <v>157</v>
      </c>
      <c r="F230" s="51" t="s">
        <v>158</v>
      </c>
      <c r="G230" s="51"/>
      <c r="H230" s="55" t="s">
        <v>2</v>
      </c>
      <c r="I230" s="48"/>
      <c r="J230" s="64"/>
      <c r="K230" s="64"/>
      <c r="O230" s="2"/>
      <c r="P230" s="164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</row>
    <row r="231" spans="1:63" ht="15">
      <c r="A231" s="75">
        <v>31</v>
      </c>
      <c r="C231" t="s">
        <v>200</v>
      </c>
      <c r="D231" s="51"/>
      <c r="E231" s="51"/>
      <c r="G231" s="51"/>
      <c r="H231" s="28"/>
      <c r="I231" s="48"/>
      <c r="J231" s="112">
        <v>0</v>
      </c>
      <c r="K231" s="113"/>
      <c r="O231" s="2"/>
      <c r="P231" s="164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3"/>
    </row>
    <row r="232" spans="1:63" ht="15.75" thickBot="1">
      <c r="A232" s="75">
        <v>32</v>
      </c>
      <c r="C232" s="90" t="s">
        <v>250</v>
      </c>
      <c r="D232" s="87"/>
      <c r="E232" s="90"/>
      <c r="F232" s="86"/>
      <c r="G232" s="86"/>
      <c r="H232" s="86"/>
      <c r="I232" s="51"/>
      <c r="J232" s="114">
        <v>0</v>
      </c>
      <c r="K232" s="115"/>
      <c r="O232" s="2"/>
      <c r="P232" s="164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</row>
    <row r="233" spans="1:63" ht="15">
      <c r="A233" s="75">
        <v>33</v>
      </c>
      <c r="C233" s="28" t="s">
        <v>159</v>
      </c>
      <c r="D233" s="16"/>
      <c r="E233" s="28"/>
      <c r="F233" s="51"/>
      <c r="G233" s="51"/>
      <c r="H233" s="51"/>
      <c r="I233" s="51"/>
      <c r="J233" s="116">
        <f>+J231-J232</f>
        <v>0</v>
      </c>
      <c r="K233" s="113"/>
      <c r="O233" s="2"/>
      <c r="P233" s="164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3"/>
    </row>
    <row r="234" spans="1:63" ht="15">
      <c r="A234" s="75"/>
      <c r="C234" s="28"/>
      <c r="D234" s="16"/>
      <c r="E234" s="28"/>
      <c r="F234" s="51"/>
      <c r="G234" s="51"/>
      <c r="H234" s="51"/>
      <c r="I234" s="51"/>
      <c r="J234" s="63"/>
      <c r="K234" s="64"/>
      <c r="O234" s="2"/>
      <c r="P234" s="164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</row>
    <row r="235" spans="1:63" ht="15">
      <c r="A235" s="75"/>
      <c r="C235" s="28" t="s">
        <v>2</v>
      </c>
      <c r="D235" s="16"/>
      <c r="E235" s="28"/>
      <c r="F235" s="51"/>
      <c r="G235" s="51"/>
      <c r="H235" s="70"/>
      <c r="I235" s="51"/>
      <c r="J235" s="63" t="s">
        <v>2</v>
      </c>
      <c r="K235" s="64"/>
      <c r="L235" s="65"/>
      <c r="M235" s="21"/>
      <c r="N235" s="22"/>
      <c r="O235" s="2"/>
      <c r="P235" s="164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</row>
    <row r="236" spans="1:63" ht="15">
      <c r="A236" s="75">
        <v>34</v>
      </c>
      <c r="C236" s="49" t="s">
        <v>383</v>
      </c>
      <c r="D236" s="16"/>
      <c r="E236" s="28"/>
      <c r="F236" s="51"/>
      <c r="G236" s="51"/>
      <c r="H236" s="102"/>
      <c r="I236" s="51"/>
      <c r="J236" s="107">
        <f>H327</f>
        <v>38685.34810000006</v>
      </c>
      <c r="K236" s="64"/>
      <c r="L236" s="65"/>
      <c r="M236" s="21"/>
      <c r="N236" s="22"/>
      <c r="O236" s="2"/>
      <c r="P236" s="164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</row>
    <row r="237" spans="1:63" ht="15">
      <c r="A237" s="75"/>
      <c r="D237" s="51"/>
      <c r="E237" s="51"/>
      <c r="F237" s="51"/>
      <c r="G237" s="51"/>
      <c r="H237" s="51"/>
      <c r="I237" s="51"/>
      <c r="J237" s="63"/>
      <c r="K237" s="64"/>
      <c r="L237" s="65"/>
      <c r="M237" s="21"/>
      <c r="N237" s="22"/>
      <c r="O237" s="2"/>
      <c r="P237" s="164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</row>
    <row r="238" spans="3:63" ht="15">
      <c r="C238" s="49" t="s">
        <v>160</v>
      </c>
      <c r="D238" s="51"/>
      <c r="E238" s="51" t="s">
        <v>385</v>
      </c>
      <c r="F238" s="51"/>
      <c r="G238" s="51"/>
      <c r="H238" s="51"/>
      <c r="I238" s="51"/>
      <c r="L238" s="66"/>
      <c r="M238" s="21"/>
      <c r="N238" s="22"/>
      <c r="O238" s="162"/>
      <c r="P238" s="164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</row>
    <row r="239" spans="1:63" ht="15">
      <c r="A239" s="75">
        <v>35</v>
      </c>
      <c r="C239" s="49" t="s">
        <v>161</v>
      </c>
      <c r="D239" s="21"/>
      <c r="E239" s="21"/>
      <c r="F239" s="21"/>
      <c r="G239" s="21"/>
      <c r="H239" s="21"/>
      <c r="I239" s="21"/>
      <c r="J239" s="245" t="s">
        <v>326</v>
      </c>
      <c r="K239" s="62"/>
      <c r="L239" s="66"/>
      <c r="M239" s="21"/>
      <c r="N239" s="22"/>
      <c r="O239" s="162"/>
      <c r="P239" s="164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</row>
    <row r="240" spans="1:63" ht="15.75" thickBot="1">
      <c r="A240" s="75">
        <v>36</v>
      </c>
      <c r="C240" s="91" t="s">
        <v>249</v>
      </c>
      <c r="D240" s="86"/>
      <c r="E240" s="86"/>
      <c r="F240" s="86"/>
      <c r="G240" s="86"/>
      <c r="H240" s="51"/>
      <c r="I240" s="51"/>
      <c r="J240" s="246" t="s">
        <v>326</v>
      </c>
      <c r="L240" s="119"/>
      <c r="M240" s="51"/>
      <c r="N240" s="52"/>
      <c r="O240" s="162"/>
      <c r="P240" s="164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</row>
    <row r="241" spans="1:63" ht="15.75">
      <c r="A241" s="75">
        <v>37</v>
      </c>
      <c r="C241" s="60" t="str">
        <f>+C233</f>
        <v>  Total of (a)-(b)</v>
      </c>
      <c r="D241" s="52"/>
      <c r="E241" s="21"/>
      <c r="F241" s="21"/>
      <c r="G241" s="21"/>
      <c r="H241" s="21"/>
      <c r="I241" s="51"/>
      <c r="J241" s="247" t="s">
        <v>326</v>
      </c>
      <c r="K241" s="62"/>
      <c r="L241" s="67"/>
      <c r="M241" s="3"/>
      <c r="N241" s="4"/>
      <c r="O241" s="162"/>
      <c r="P241" s="164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3"/>
    </row>
    <row r="242" spans="1:63" ht="15.75">
      <c r="A242" s="75"/>
      <c r="C242" s="60"/>
      <c r="D242" s="52"/>
      <c r="E242" s="21"/>
      <c r="F242" s="21"/>
      <c r="G242" s="21"/>
      <c r="H242" s="21"/>
      <c r="I242" s="51"/>
      <c r="J242" s="247"/>
      <c r="K242" s="62"/>
      <c r="L242" s="67"/>
      <c r="M242" s="3"/>
      <c r="N242" s="4"/>
      <c r="O242" s="162"/>
      <c r="P242" s="164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</row>
    <row r="243" spans="1:63" ht="15.75">
      <c r="A243" s="75"/>
      <c r="C243" s="275" t="s">
        <v>448</v>
      </c>
      <c r="M243" s="3"/>
      <c r="N243" s="4"/>
      <c r="O243" s="162"/>
      <c r="P243" s="164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</row>
    <row r="244" spans="1:63" ht="15">
      <c r="A244" s="75"/>
      <c r="C244" s="276"/>
      <c r="D244" s="162"/>
      <c r="E244" s="2"/>
      <c r="F244" s="2"/>
      <c r="G244" s="2"/>
      <c r="H244" s="2"/>
      <c r="I244" s="162"/>
      <c r="J244" s="2"/>
      <c r="K244" s="162"/>
      <c r="L244" s="2"/>
      <c r="M244" s="162"/>
      <c r="N244" s="162"/>
      <c r="O244" s="162"/>
      <c r="P244" s="164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</row>
    <row r="245" spans="1:63" ht="15">
      <c r="A245" s="75"/>
      <c r="C245" s="164"/>
      <c r="D245" s="162"/>
      <c r="E245" s="2"/>
      <c r="F245" s="2"/>
      <c r="G245" s="2"/>
      <c r="H245" s="2"/>
      <c r="I245" s="162"/>
      <c r="J245" s="2"/>
      <c r="K245" s="162"/>
      <c r="L245" s="2"/>
      <c r="M245" s="162"/>
      <c r="N245" s="162"/>
      <c r="O245" s="162"/>
      <c r="P245" s="164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  <c r="BI245" s="163"/>
      <c r="BJ245" s="163"/>
      <c r="BK245" s="163"/>
    </row>
    <row r="246" spans="1:63" ht="15">
      <c r="A246" s="75"/>
      <c r="C246" s="164"/>
      <c r="D246" s="162"/>
      <c r="E246" s="2"/>
      <c r="F246" s="2"/>
      <c r="G246" s="2"/>
      <c r="H246" s="2"/>
      <c r="I246" s="162"/>
      <c r="J246" s="2"/>
      <c r="K246" s="162"/>
      <c r="L246" s="2"/>
      <c r="M246" s="162"/>
      <c r="N246" s="162"/>
      <c r="O246" s="162"/>
      <c r="P246" s="164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  <c r="BI246" s="163"/>
      <c r="BJ246" s="163"/>
      <c r="BK246" s="163"/>
    </row>
    <row r="247" spans="1:63" ht="15.75">
      <c r="A247" s="75"/>
      <c r="B247" s="3"/>
      <c r="C247" s="60" t="str">
        <f>C1</f>
        <v>Formula Rate - Non-Levelized </v>
      </c>
      <c r="D247" s="52"/>
      <c r="E247" s="21" t="str">
        <f>E1</f>
        <v>     Rate Formula Template</v>
      </c>
      <c r="F247" s="21"/>
      <c r="G247" s="21"/>
      <c r="J247" t="str">
        <f>+J1</f>
        <v>Statement BK</v>
      </c>
      <c r="K247" s="64"/>
      <c r="L247" s="67"/>
      <c r="M247" s="3"/>
      <c r="N247" s="4"/>
      <c r="O247" s="162"/>
      <c r="P247" s="164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3"/>
    </row>
    <row r="248" spans="1:63" ht="15.75">
      <c r="A248" s="75"/>
      <c r="B248" s="3"/>
      <c r="C248" s="60"/>
      <c r="D248" s="52"/>
      <c r="E248" s="21" t="str">
        <f>E2</f>
        <v> Utilizing FERC Form 1 Data</v>
      </c>
      <c r="F248" s="21"/>
      <c r="G248" s="21"/>
      <c r="H248" s="21"/>
      <c r="J248" t="str">
        <f>+J2</f>
        <v>Schedule WES</v>
      </c>
      <c r="K248" s="64"/>
      <c r="L248" s="67"/>
      <c r="M248" s="3"/>
      <c r="N248" s="4"/>
      <c r="O248" s="162"/>
      <c r="P248" s="164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  <c r="BI248" s="163"/>
      <c r="BJ248" s="163"/>
      <c r="BK248" s="163"/>
    </row>
    <row r="249" spans="1:63" ht="15.75">
      <c r="A249" s="75"/>
      <c r="B249" s="3"/>
      <c r="C249" s="60"/>
      <c r="D249" s="52"/>
      <c r="E249" s="21"/>
      <c r="F249" s="21"/>
      <c r="G249" s="21"/>
      <c r="H249" s="21"/>
      <c r="I249" s="92" t="str">
        <f>I3</f>
        <v>For the 12 months ended 12/31/04</v>
      </c>
      <c r="K249" s="64"/>
      <c r="L249" s="67"/>
      <c r="M249" s="3"/>
      <c r="N249" s="4"/>
      <c r="O249" s="162"/>
      <c r="P249" s="162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</row>
    <row r="250" spans="1:63" ht="15.75">
      <c r="A250" s="75"/>
      <c r="B250" s="3"/>
      <c r="C250" s="60"/>
      <c r="D250" s="52"/>
      <c r="E250" s="22" t="str">
        <f>+E4</f>
        <v>KANSAS GAS AND ELECTRIC COMPANY</v>
      </c>
      <c r="F250" s="21"/>
      <c r="G250" s="21"/>
      <c r="H250" s="21"/>
      <c r="I250" s="51"/>
      <c r="J250" s="51" t="s">
        <v>399</v>
      </c>
      <c r="K250" s="64"/>
      <c r="L250" s="67"/>
      <c r="M250" s="3"/>
      <c r="N250" s="4"/>
      <c r="O250" s="162"/>
      <c r="P250" s="162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</row>
    <row r="251" spans="1:63" ht="15.75">
      <c r="A251" s="75"/>
      <c r="B251" s="3"/>
      <c r="C251" s="60"/>
      <c r="D251" s="52"/>
      <c r="E251" s="22" t="str">
        <f>+E5</f>
        <v>(WES)</v>
      </c>
      <c r="F251" s="21"/>
      <c r="G251" s="21"/>
      <c r="H251" s="21"/>
      <c r="I251" s="51"/>
      <c r="J251" s="92"/>
      <c r="K251" s="64"/>
      <c r="L251" s="67"/>
      <c r="M251" s="3"/>
      <c r="N251" s="4"/>
      <c r="O251" s="162"/>
      <c r="P251" s="162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63"/>
      <c r="BG251" s="163"/>
      <c r="BH251" s="163"/>
      <c r="BI251" s="163"/>
      <c r="BJ251" s="163"/>
      <c r="BK251" s="163"/>
    </row>
    <row r="252" spans="2:63" ht="15.75">
      <c r="B252" s="3"/>
      <c r="C252" s="1"/>
      <c r="D252" s="93"/>
      <c r="E252" s="22" t="s">
        <v>384</v>
      </c>
      <c r="F252" s="2"/>
      <c r="G252" s="2"/>
      <c r="H252" s="2"/>
      <c r="I252" s="3"/>
      <c r="J252" s="2"/>
      <c r="K252" s="3"/>
      <c r="L252" s="2"/>
      <c r="M252" s="3"/>
      <c r="N252" s="4"/>
      <c r="O252" s="162"/>
      <c r="P252" s="162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3"/>
    </row>
    <row r="253" spans="1:63" ht="20.25">
      <c r="A253" s="95"/>
      <c r="B253" s="94"/>
      <c r="C253" s="96" t="s">
        <v>162</v>
      </c>
      <c r="D253" s="95"/>
      <c r="E253" s="97"/>
      <c r="F253" s="97"/>
      <c r="G253" s="97"/>
      <c r="H253" s="97"/>
      <c r="I253" s="94"/>
      <c r="J253" s="97"/>
      <c r="K253" s="100"/>
      <c r="L253" s="101"/>
      <c r="M253" s="100"/>
      <c r="N253" s="98"/>
      <c r="O253" s="162"/>
      <c r="P253" s="162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</row>
    <row r="254" spans="1:63" ht="20.25">
      <c r="A254" s="95"/>
      <c r="B254" s="94"/>
      <c r="C254" s="96" t="s">
        <v>163</v>
      </c>
      <c r="D254" s="95"/>
      <c r="E254" s="97"/>
      <c r="F254" s="97"/>
      <c r="G254" s="97"/>
      <c r="H254" s="97"/>
      <c r="I254" s="94"/>
      <c r="J254" s="97"/>
      <c r="K254" s="100"/>
      <c r="L254" s="101"/>
      <c r="M254" s="100"/>
      <c r="N254" s="98"/>
      <c r="O254" s="162"/>
      <c r="P254" s="162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3"/>
    </row>
    <row r="255" spans="1:63" ht="20.25">
      <c r="A255" s="95" t="s">
        <v>164</v>
      </c>
      <c r="B255" s="94"/>
      <c r="C255" s="96"/>
      <c r="D255" s="94"/>
      <c r="E255" s="97"/>
      <c r="F255" s="97"/>
      <c r="G255" s="97"/>
      <c r="H255" s="97"/>
      <c r="I255" s="94"/>
      <c r="J255" s="97"/>
      <c r="K255" s="100"/>
      <c r="L255" s="101"/>
      <c r="M255" s="100"/>
      <c r="N255" s="98"/>
      <c r="O255" s="162"/>
      <c r="P255" s="162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63"/>
      <c r="BD255" s="163"/>
      <c r="BE255" s="163"/>
      <c r="BF255" s="163"/>
      <c r="BG255" s="163"/>
      <c r="BH255" s="163"/>
      <c r="BI255" s="163"/>
      <c r="BJ255" s="163"/>
      <c r="BK255" s="163"/>
    </row>
    <row r="256" spans="1:63" ht="21" thickBot="1">
      <c r="A256" s="99" t="s">
        <v>165</v>
      </c>
      <c r="B256" s="94"/>
      <c r="C256" s="96"/>
      <c r="D256" s="94"/>
      <c r="E256" s="97"/>
      <c r="F256" s="97"/>
      <c r="G256" s="97"/>
      <c r="H256" s="97"/>
      <c r="I256" s="94"/>
      <c r="J256" s="97"/>
      <c r="K256" s="100"/>
      <c r="L256" s="101"/>
      <c r="M256" s="100"/>
      <c r="N256" s="98"/>
      <c r="O256" s="162"/>
      <c r="P256" s="162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3"/>
    </row>
    <row r="257" spans="1:63" ht="20.25">
      <c r="A257" s="95"/>
      <c r="B257" s="94"/>
      <c r="C257" s="96"/>
      <c r="D257" s="94"/>
      <c r="E257" s="97"/>
      <c r="F257" s="97"/>
      <c r="G257" s="97"/>
      <c r="H257" s="97"/>
      <c r="I257" s="94"/>
      <c r="J257" s="97"/>
      <c r="K257" s="100"/>
      <c r="L257" s="101"/>
      <c r="M257" s="100"/>
      <c r="N257" s="98"/>
      <c r="O257" s="162"/>
      <c r="P257" s="162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</row>
    <row r="258" spans="1:63" ht="20.25">
      <c r="A258" s="95" t="s">
        <v>166</v>
      </c>
      <c r="B258" s="94"/>
      <c r="C258" s="127" t="s">
        <v>360</v>
      </c>
      <c r="D258" s="128"/>
      <c r="E258" s="129"/>
      <c r="F258" s="129"/>
      <c r="G258" s="129"/>
      <c r="H258" s="129"/>
      <c r="I258" s="128"/>
      <c r="J258" s="129"/>
      <c r="K258" s="130"/>
      <c r="L258" s="131"/>
      <c r="M258" s="130"/>
      <c r="N258" s="132"/>
      <c r="O258" s="162"/>
      <c r="P258" s="162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3"/>
    </row>
    <row r="259" spans="1:63" ht="20.25">
      <c r="A259" s="95" t="s">
        <v>167</v>
      </c>
      <c r="B259" s="94"/>
      <c r="C259" s="127" t="s">
        <v>361</v>
      </c>
      <c r="D259" s="128"/>
      <c r="E259" s="129"/>
      <c r="F259" s="129"/>
      <c r="G259" s="129"/>
      <c r="H259" s="129"/>
      <c r="I259" s="128"/>
      <c r="J259" s="129"/>
      <c r="K259" s="130"/>
      <c r="L259" s="131"/>
      <c r="M259" s="130"/>
      <c r="N259" s="132"/>
      <c r="O259" s="162"/>
      <c r="P259" s="162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/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3"/>
    </row>
    <row r="260" spans="1:63" ht="20.25">
      <c r="A260" s="95" t="s">
        <v>168</v>
      </c>
      <c r="B260" s="94"/>
      <c r="C260" s="127" t="s">
        <v>362</v>
      </c>
      <c r="D260" s="128"/>
      <c r="E260" s="128"/>
      <c r="F260" s="128"/>
      <c r="G260" s="128"/>
      <c r="H260" s="128"/>
      <c r="I260" s="128"/>
      <c r="J260" s="129"/>
      <c r="K260" s="130"/>
      <c r="L260" s="130"/>
      <c r="M260" s="130"/>
      <c r="N260" s="133"/>
      <c r="O260" s="162"/>
      <c r="P260" s="162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63"/>
      <c r="BD260" s="163"/>
      <c r="BE260" s="163"/>
      <c r="BF260" s="163"/>
      <c r="BG260" s="163"/>
      <c r="BH260" s="163"/>
      <c r="BI260" s="163"/>
      <c r="BJ260" s="163"/>
      <c r="BK260" s="163"/>
    </row>
    <row r="261" spans="1:63" ht="20.25">
      <c r="A261" s="95" t="s">
        <v>169</v>
      </c>
      <c r="B261" s="94"/>
      <c r="C261" s="127" t="s">
        <v>362</v>
      </c>
      <c r="D261" s="128"/>
      <c r="E261" s="128"/>
      <c r="F261" s="128"/>
      <c r="G261" s="128"/>
      <c r="H261" s="128"/>
      <c r="I261" s="128"/>
      <c r="J261" s="129"/>
      <c r="K261" s="130"/>
      <c r="L261" s="130"/>
      <c r="M261" s="130"/>
      <c r="N261" s="133"/>
      <c r="O261" s="162"/>
      <c r="P261" s="162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3"/>
      <c r="BD261" s="163"/>
      <c r="BE261" s="163"/>
      <c r="BF261" s="163"/>
      <c r="BG261" s="163"/>
      <c r="BH261" s="163"/>
      <c r="BI261" s="163"/>
      <c r="BJ261" s="163"/>
      <c r="BK261" s="163"/>
    </row>
    <row r="262" spans="1:63" ht="20.25">
      <c r="A262" s="95" t="s">
        <v>170</v>
      </c>
      <c r="B262" s="94"/>
      <c r="C262" s="128" t="s">
        <v>259</v>
      </c>
      <c r="D262" s="128"/>
      <c r="E262" s="128"/>
      <c r="F262" s="128"/>
      <c r="G262" s="128"/>
      <c r="H262" s="128"/>
      <c r="I262" s="128"/>
      <c r="J262" s="128"/>
      <c r="K262" s="130"/>
      <c r="L262" s="130"/>
      <c r="M262" s="130"/>
      <c r="N262" s="132"/>
      <c r="O262" s="162"/>
      <c r="P262" s="162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  <c r="BE262" s="163"/>
      <c r="BF262" s="163"/>
      <c r="BG262" s="163"/>
      <c r="BH262" s="163"/>
      <c r="BI262" s="163"/>
      <c r="BJ262" s="163"/>
      <c r="BK262" s="163"/>
    </row>
    <row r="263" spans="1:63" ht="20.25">
      <c r="A263" s="95" t="s">
        <v>171</v>
      </c>
      <c r="B263" s="94"/>
      <c r="C263" s="128" t="s">
        <v>172</v>
      </c>
      <c r="D263" s="128"/>
      <c r="E263" s="128"/>
      <c r="F263" s="128"/>
      <c r="G263" s="128"/>
      <c r="H263" s="128"/>
      <c r="I263" s="128"/>
      <c r="J263" s="128"/>
      <c r="K263" s="130"/>
      <c r="L263" s="130"/>
      <c r="M263" s="130"/>
      <c r="N263" s="132"/>
      <c r="O263" s="162"/>
      <c r="P263" s="162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63"/>
      <c r="BD263" s="163"/>
      <c r="BE263" s="163"/>
      <c r="BF263" s="163"/>
      <c r="BG263" s="163"/>
      <c r="BH263" s="163"/>
      <c r="BI263" s="163"/>
      <c r="BJ263" s="163"/>
      <c r="BK263" s="163"/>
    </row>
    <row r="264" spans="1:63" ht="20.25">
      <c r="A264" s="95"/>
      <c r="B264" s="94"/>
      <c r="C264" s="128" t="s">
        <v>219</v>
      </c>
      <c r="D264" s="128"/>
      <c r="E264" s="128"/>
      <c r="F264" s="128"/>
      <c r="G264" s="128"/>
      <c r="H264" s="128"/>
      <c r="I264" s="128"/>
      <c r="J264" s="128"/>
      <c r="K264" s="130"/>
      <c r="L264" s="130"/>
      <c r="M264" s="130"/>
      <c r="N264" s="132"/>
      <c r="O264" s="162"/>
      <c r="P264" s="162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3"/>
      <c r="BD264" s="163"/>
      <c r="BE264" s="163"/>
      <c r="BF264" s="163"/>
      <c r="BG264" s="163"/>
      <c r="BH264" s="163"/>
      <c r="BI264" s="163"/>
      <c r="BJ264" s="163"/>
      <c r="BK264" s="163"/>
    </row>
    <row r="265" spans="1:63" ht="20.25">
      <c r="A265" s="95"/>
      <c r="B265" s="94"/>
      <c r="C265" s="128" t="s">
        <v>266</v>
      </c>
      <c r="D265" s="128"/>
      <c r="E265" s="128"/>
      <c r="F265" s="128"/>
      <c r="G265" s="128"/>
      <c r="H265" s="128"/>
      <c r="I265" s="128"/>
      <c r="J265" s="128"/>
      <c r="K265" s="130"/>
      <c r="L265" s="130"/>
      <c r="M265" s="130"/>
      <c r="N265" s="132"/>
      <c r="O265" s="162"/>
      <c r="P265" s="162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63"/>
      <c r="BD265" s="163"/>
      <c r="BE265" s="163"/>
      <c r="BF265" s="163"/>
      <c r="BG265" s="163"/>
      <c r="BH265" s="163"/>
      <c r="BI265" s="163"/>
      <c r="BJ265" s="163"/>
      <c r="BK265" s="163"/>
    </row>
    <row r="266" spans="1:63" ht="20.25">
      <c r="A266" s="95" t="s">
        <v>173</v>
      </c>
      <c r="B266" s="94"/>
      <c r="C266" s="128" t="s">
        <v>174</v>
      </c>
      <c r="D266" s="128"/>
      <c r="E266" s="128"/>
      <c r="F266" s="128"/>
      <c r="G266" s="128"/>
      <c r="H266" s="128"/>
      <c r="I266" s="128"/>
      <c r="J266" s="128"/>
      <c r="K266" s="130"/>
      <c r="L266" s="130"/>
      <c r="M266" s="130"/>
      <c r="N266" s="132"/>
      <c r="O266" s="162"/>
      <c r="P266" s="162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3"/>
      <c r="BC266" s="163"/>
      <c r="BD266" s="163"/>
      <c r="BE266" s="163"/>
      <c r="BF266" s="163"/>
      <c r="BG266" s="163"/>
      <c r="BH266" s="163"/>
      <c r="BI266" s="163"/>
      <c r="BJ266" s="163"/>
      <c r="BK266" s="163"/>
    </row>
    <row r="267" spans="1:63" ht="20.25">
      <c r="A267" s="95" t="s">
        <v>175</v>
      </c>
      <c r="B267" s="94"/>
      <c r="C267" s="128" t="s">
        <v>176</v>
      </c>
      <c r="D267" s="128"/>
      <c r="E267" s="128"/>
      <c r="F267" s="128"/>
      <c r="G267" s="128"/>
      <c r="H267" s="128"/>
      <c r="I267" s="128"/>
      <c r="J267" s="128"/>
      <c r="K267" s="130"/>
      <c r="L267" s="130"/>
      <c r="M267" s="130"/>
      <c r="N267" s="132"/>
      <c r="O267" s="162"/>
      <c r="P267" s="162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3"/>
    </row>
    <row r="268" spans="1:63" ht="20.25">
      <c r="A268" s="95"/>
      <c r="B268" s="94"/>
      <c r="C268" s="128" t="s">
        <v>220</v>
      </c>
      <c r="D268" s="128"/>
      <c r="E268" s="128"/>
      <c r="F268" s="128"/>
      <c r="G268" s="128"/>
      <c r="H268" s="128"/>
      <c r="I268" s="128"/>
      <c r="J268" s="128"/>
      <c r="K268" s="130"/>
      <c r="L268" s="130"/>
      <c r="M268" s="130"/>
      <c r="N268" s="132"/>
      <c r="O268" s="162"/>
      <c r="P268" s="162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3"/>
    </row>
    <row r="269" spans="1:63" ht="20.25">
      <c r="A269" s="95" t="s">
        <v>177</v>
      </c>
      <c r="B269" s="94"/>
      <c r="C269" s="128" t="s">
        <v>366</v>
      </c>
      <c r="D269" s="128"/>
      <c r="E269" s="128"/>
      <c r="F269" s="128"/>
      <c r="G269" s="128"/>
      <c r="H269" s="128"/>
      <c r="I269" s="128"/>
      <c r="J269" s="128"/>
      <c r="K269" s="130"/>
      <c r="L269" s="130"/>
      <c r="M269" s="130"/>
      <c r="N269" s="132"/>
      <c r="O269" s="162"/>
      <c r="P269" s="162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</row>
    <row r="270" spans="1:63" ht="18.75">
      <c r="A270" s="95"/>
      <c r="B270" s="94"/>
      <c r="C270" s="328" t="s">
        <v>466</v>
      </c>
      <c r="D270" s="329"/>
      <c r="E270" s="329"/>
      <c r="F270" s="329"/>
      <c r="G270" s="329"/>
      <c r="H270" s="329"/>
      <c r="I270" s="329"/>
      <c r="J270" s="329"/>
      <c r="K270" s="329"/>
      <c r="L270" s="329"/>
      <c r="M270" s="329"/>
      <c r="N270" s="132"/>
      <c r="O270" s="162"/>
      <c r="P270" s="162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3"/>
    </row>
    <row r="271" spans="1:63" ht="20.25">
      <c r="A271" s="95"/>
      <c r="B271" s="94"/>
      <c r="C271" s="128" t="s">
        <v>264</v>
      </c>
      <c r="D271" s="128"/>
      <c r="E271" s="128"/>
      <c r="F271" s="128"/>
      <c r="G271" s="128"/>
      <c r="H271" s="128"/>
      <c r="I271" s="128"/>
      <c r="J271" s="128"/>
      <c r="K271" s="130"/>
      <c r="L271" s="130"/>
      <c r="M271" s="130"/>
      <c r="N271" s="132"/>
      <c r="O271" s="162"/>
      <c r="P271" s="162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  <c r="BE271" s="163"/>
      <c r="BF271" s="163"/>
      <c r="BG271" s="163"/>
      <c r="BH271" s="163"/>
      <c r="BI271" s="163"/>
      <c r="BJ271" s="163"/>
      <c r="BK271" s="163"/>
    </row>
    <row r="272" spans="1:63" ht="20.25">
      <c r="A272" s="95" t="s">
        <v>178</v>
      </c>
      <c r="B272" s="94"/>
      <c r="C272" s="128" t="s">
        <v>179</v>
      </c>
      <c r="D272" s="128"/>
      <c r="E272" s="128"/>
      <c r="F272" s="128"/>
      <c r="G272" s="128"/>
      <c r="H272" s="128"/>
      <c r="I272" s="128"/>
      <c r="J272" s="128"/>
      <c r="K272" s="130"/>
      <c r="L272" s="130"/>
      <c r="M272" s="130"/>
      <c r="N272" s="132"/>
      <c r="O272" s="162"/>
      <c r="P272" s="162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  <c r="BE272" s="163"/>
      <c r="BF272" s="163"/>
      <c r="BG272" s="163"/>
      <c r="BH272" s="163"/>
      <c r="BI272" s="163"/>
      <c r="BJ272" s="163"/>
      <c r="BK272" s="163"/>
    </row>
    <row r="273" spans="1:63" ht="20.25">
      <c r="A273" s="95"/>
      <c r="B273" s="94"/>
      <c r="C273" s="128" t="s">
        <v>368</v>
      </c>
      <c r="D273" s="128"/>
      <c r="E273" s="128"/>
      <c r="F273" s="128"/>
      <c r="G273" s="128"/>
      <c r="H273" s="128"/>
      <c r="I273" s="128"/>
      <c r="J273" s="128"/>
      <c r="K273" s="130"/>
      <c r="L273" s="130"/>
      <c r="M273" s="130"/>
      <c r="N273" s="132"/>
      <c r="O273" s="170"/>
      <c r="P273" s="162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3"/>
      <c r="BB273" s="163"/>
      <c r="BC273" s="163"/>
      <c r="BD273" s="163"/>
      <c r="BE273" s="163"/>
      <c r="BF273" s="163"/>
      <c r="BG273" s="163"/>
      <c r="BH273" s="163"/>
      <c r="BI273" s="163"/>
      <c r="BJ273" s="163"/>
      <c r="BK273" s="163"/>
    </row>
    <row r="274" spans="1:63" ht="20.25">
      <c r="A274" s="95"/>
      <c r="B274" s="94"/>
      <c r="C274" s="128" t="s">
        <v>367</v>
      </c>
      <c r="D274" s="128"/>
      <c r="E274" s="128"/>
      <c r="F274" s="128"/>
      <c r="G274" s="128"/>
      <c r="H274" s="128"/>
      <c r="I274" s="128"/>
      <c r="J274" s="128"/>
      <c r="K274" s="130"/>
      <c r="L274" s="130"/>
      <c r="M274" s="130"/>
      <c r="N274" s="132"/>
      <c r="O274" s="162"/>
      <c r="P274" s="162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63"/>
      <c r="BD274" s="163"/>
      <c r="BE274" s="163"/>
      <c r="BF274" s="163"/>
      <c r="BG274" s="163"/>
      <c r="BH274" s="163"/>
      <c r="BI274" s="163"/>
      <c r="BJ274" s="163"/>
      <c r="BK274" s="163"/>
    </row>
    <row r="275" spans="1:63" ht="20.25">
      <c r="A275" s="95" t="s">
        <v>180</v>
      </c>
      <c r="B275" s="94"/>
      <c r="C275" s="128" t="s">
        <v>199</v>
      </c>
      <c r="D275" s="128"/>
      <c r="E275" s="128"/>
      <c r="F275" s="128"/>
      <c r="G275" s="128"/>
      <c r="H275" s="128"/>
      <c r="I275" s="128"/>
      <c r="J275" s="128"/>
      <c r="K275" s="130"/>
      <c r="L275" s="130"/>
      <c r="M275" s="130"/>
      <c r="N275" s="132"/>
      <c r="O275" s="162"/>
      <c r="P275" s="162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63"/>
      <c r="BD275" s="163"/>
      <c r="BE275" s="163"/>
      <c r="BF275" s="163"/>
      <c r="BG275" s="163"/>
      <c r="BH275" s="163"/>
      <c r="BI275" s="163"/>
      <c r="BJ275" s="163"/>
      <c r="BK275" s="163"/>
    </row>
    <row r="276" spans="1:63" ht="20.25">
      <c r="A276" s="95"/>
      <c r="B276" s="94"/>
      <c r="C276" s="128" t="s">
        <v>221</v>
      </c>
      <c r="D276" s="128"/>
      <c r="E276" s="128"/>
      <c r="F276" s="128"/>
      <c r="G276" s="128"/>
      <c r="H276" s="128"/>
      <c r="I276" s="128"/>
      <c r="J276" s="128"/>
      <c r="K276" s="130"/>
      <c r="L276" s="130"/>
      <c r="M276" s="130"/>
      <c r="N276" s="132"/>
      <c r="O276" s="162"/>
      <c r="P276" s="162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63"/>
      <c r="BD276" s="163"/>
      <c r="BE276" s="163"/>
      <c r="BF276" s="163"/>
      <c r="BG276" s="163"/>
      <c r="BH276" s="163"/>
      <c r="BI276" s="163"/>
      <c r="BJ276" s="163"/>
      <c r="BK276" s="163"/>
    </row>
    <row r="277" spans="1:63" ht="20.25">
      <c r="A277" s="95"/>
      <c r="B277" s="94"/>
      <c r="C277" s="128" t="s">
        <v>222</v>
      </c>
      <c r="D277" s="128"/>
      <c r="E277" s="128"/>
      <c r="F277" s="128"/>
      <c r="G277" s="128"/>
      <c r="H277" s="128"/>
      <c r="I277" s="128"/>
      <c r="J277" s="128"/>
      <c r="K277" s="130"/>
      <c r="L277" s="130"/>
      <c r="M277" s="130"/>
      <c r="N277" s="132"/>
      <c r="O277" s="162"/>
      <c r="P277" s="162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  <c r="BC277" s="163"/>
      <c r="BD277" s="163"/>
      <c r="BE277" s="163"/>
      <c r="BF277" s="163"/>
      <c r="BG277" s="163"/>
      <c r="BH277" s="163"/>
      <c r="BI277" s="163"/>
      <c r="BJ277" s="163"/>
      <c r="BK277" s="163"/>
    </row>
    <row r="278" spans="1:63" ht="20.25">
      <c r="A278" s="95"/>
      <c r="B278" s="94"/>
      <c r="C278" s="128" t="s">
        <v>223</v>
      </c>
      <c r="D278" s="128"/>
      <c r="E278" s="128"/>
      <c r="F278" s="128"/>
      <c r="G278" s="128"/>
      <c r="H278" s="128"/>
      <c r="I278" s="128"/>
      <c r="J278" s="128"/>
      <c r="K278" s="130"/>
      <c r="L278" s="130"/>
      <c r="M278" s="130"/>
      <c r="N278" s="132"/>
      <c r="O278" s="162"/>
      <c r="P278" s="162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  <c r="BE278" s="163"/>
      <c r="BF278" s="163"/>
      <c r="BG278" s="163"/>
      <c r="BH278" s="163"/>
      <c r="BI278" s="163"/>
      <c r="BJ278" s="163"/>
      <c r="BK278" s="163"/>
    </row>
    <row r="279" spans="1:63" ht="20.25">
      <c r="A279" s="95"/>
      <c r="B279" s="94"/>
      <c r="C279" s="128" t="s">
        <v>225</v>
      </c>
      <c r="D279" s="128"/>
      <c r="E279" s="128"/>
      <c r="F279" s="128"/>
      <c r="G279" s="128"/>
      <c r="H279" s="128"/>
      <c r="I279" s="128"/>
      <c r="J279" s="128"/>
      <c r="K279" s="130"/>
      <c r="L279" s="130"/>
      <c r="M279" s="130"/>
      <c r="N279" s="132"/>
      <c r="O279" s="162"/>
      <c r="P279" s="162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3"/>
    </row>
    <row r="280" spans="1:63" ht="20.25">
      <c r="A280" s="95"/>
      <c r="B280" s="94"/>
      <c r="C280" s="128" t="s">
        <v>240</v>
      </c>
      <c r="D280" s="128"/>
      <c r="E280" s="128"/>
      <c r="F280" s="128"/>
      <c r="G280" s="128"/>
      <c r="H280" s="128"/>
      <c r="I280" s="128"/>
      <c r="J280" s="128"/>
      <c r="K280" s="130"/>
      <c r="L280" s="130"/>
      <c r="M280" s="130"/>
      <c r="N280" s="132"/>
      <c r="O280" s="162"/>
      <c r="P280" s="162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3"/>
      <c r="BD280" s="163"/>
      <c r="BE280" s="163"/>
      <c r="BF280" s="163"/>
      <c r="BG280" s="163"/>
      <c r="BH280" s="163"/>
      <c r="BI280" s="163"/>
      <c r="BJ280" s="163"/>
      <c r="BK280" s="163"/>
    </row>
    <row r="281" spans="1:63" ht="20.25">
      <c r="A281" s="95" t="s">
        <v>2</v>
      </c>
      <c r="B281" s="94"/>
      <c r="C281" s="128" t="s">
        <v>239</v>
      </c>
      <c r="D281" s="128" t="s">
        <v>226</v>
      </c>
      <c r="E281" s="159">
        <v>0.35</v>
      </c>
      <c r="F281" s="128"/>
      <c r="G281" s="128"/>
      <c r="H281" s="128"/>
      <c r="I281" s="128"/>
      <c r="J281" s="128"/>
      <c r="K281" s="130"/>
      <c r="L281" s="130"/>
      <c r="M281" s="130"/>
      <c r="N281" s="132"/>
      <c r="O281" s="162"/>
      <c r="P281" s="162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  <c r="BC281" s="163"/>
      <c r="BD281" s="163"/>
      <c r="BE281" s="163"/>
      <c r="BF281" s="163"/>
      <c r="BG281" s="163"/>
      <c r="BH281" s="163"/>
      <c r="BI281" s="163"/>
      <c r="BJ281" s="163"/>
      <c r="BK281" s="163"/>
    </row>
    <row r="282" spans="1:63" ht="20.25">
      <c r="A282" s="95"/>
      <c r="B282" s="94"/>
      <c r="C282" s="128"/>
      <c r="D282" s="128" t="s">
        <v>227</v>
      </c>
      <c r="E282" s="159">
        <v>0.0735</v>
      </c>
      <c r="F282" s="128" t="s">
        <v>228</v>
      </c>
      <c r="G282" s="128"/>
      <c r="H282" s="128"/>
      <c r="I282" s="128"/>
      <c r="J282" s="128"/>
      <c r="K282" s="130"/>
      <c r="L282" s="130"/>
      <c r="M282" s="130"/>
      <c r="N282" s="132"/>
      <c r="O282" s="162"/>
      <c r="P282" s="162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63"/>
      <c r="BD282" s="163"/>
      <c r="BE282" s="163"/>
      <c r="BF282" s="163"/>
      <c r="BG282" s="163"/>
      <c r="BH282" s="163"/>
      <c r="BI282" s="163"/>
      <c r="BJ282" s="163"/>
      <c r="BK282" s="163"/>
    </row>
    <row r="283" spans="1:63" ht="20.25">
      <c r="A283" s="95"/>
      <c r="B283" s="94"/>
      <c r="C283" s="128"/>
      <c r="D283" s="128" t="s">
        <v>229</v>
      </c>
      <c r="E283" s="159">
        <v>0</v>
      </c>
      <c r="F283" s="128" t="s">
        <v>230</v>
      </c>
      <c r="G283" s="128"/>
      <c r="H283" s="128"/>
      <c r="I283" s="128"/>
      <c r="J283" s="128"/>
      <c r="K283" s="130"/>
      <c r="L283" s="130"/>
      <c r="M283" s="130"/>
      <c r="N283" s="132"/>
      <c r="O283" s="162"/>
      <c r="P283" s="162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63"/>
      <c r="BD283" s="163"/>
      <c r="BE283" s="163"/>
      <c r="BF283" s="163"/>
      <c r="BG283" s="163"/>
      <c r="BH283" s="163"/>
      <c r="BI283" s="163"/>
      <c r="BJ283" s="163"/>
      <c r="BK283" s="163"/>
    </row>
    <row r="284" spans="1:63" ht="20.25">
      <c r="A284" s="95" t="s">
        <v>181</v>
      </c>
      <c r="B284" s="94"/>
      <c r="C284" s="128" t="s">
        <v>265</v>
      </c>
      <c r="D284" s="128"/>
      <c r="E284" s="128"/>
      <c r="F284" s="128"/>
      <c r="G284" s="128"/>
      <c r="H284" s="128"/>
      <c r="I284" s="128"/>
      <c r="J284" s="128"/>
      <c r="K284" s="130"/>
      <c r="L284" s="130"/>
      <c r="M284" s="130"/>
      <c r="N284" s="132"/>
      <c r="O284" s="162"/>
      <c r="P284" s="162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3"/>
      <c r="BD284" s="163"/>
      <c r="BE284" s="163"/>
      <c r="BF284" s="163"/>
      <c r="BG284" s="163"/>
      <c r="BH284" s="163"/>
      <c r="BI284" s="163"/>
      <c r="BJ284" s="163"/>
      <c r="BK284" s="163"/>
    </row>
    <row r="285" spans="1:63" ht="20.25">
      <c r="A285" s="95" t="s">
        <v>182</v>
      </c>
      <c r="B285" s="94"/>
      <c r="C285" s="128" t="s">
        <v>370</v>
      </c>
      <c r="D285" s="128"/>
      <c r="E285" s="128"/>
      <c r="F285" s="128"/>
      <c r="G285" s="128"/>
      <c r="H285" s="128"/>
      <c r="I285" s="128"/>
      <c r="J285" s="128"/>
      <c r="K285" s="130"/>
      <c r="L285" s="130"/>
      <c r="M285" s="130"/>
      <c r="N285" s="132"/>
      <c r="O285" s="162"/>
      <c r="P285" s="162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  <c r="BE285" s="163"/>
      <c r="BF285" s="163"/>
      <c r="BG285" s="163"/>
      <c r="BH285" s="163"/>
      <c r="BI285" s="163"/>
      <c r="BJ285" s="163"/>
      <c r="BK285" s="163"/>
    </row>
    <row r="286" spans="1:63" ht="20.25">
      <c r="A286" s="95"/>
      <c r="B286" s="94"/>
      <c r="C286" s="128" t="s">
        <v>369</v>
      </c>
      <c r="D286" s="128"/>
      <c r="E286" s="128"/>
      <c r="F286" s="128"/>
      <c r="G286" s="128"/>
      <c r="H286" s="128"/>
      <c r="I286" s="128"/>
      <c r="J286" s="128"/>
      <c r="K286" s="130"/>
      <c r="L286" s="130"/>
      <c r="M286" s="130"/>
      <c r="N286" s="132"/>
      <c r="O286" s="162"/>
      <c r="P286" s="162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3"/>
    </row>
    <row r="287" spans="1:63" ht="20.25">
      <c r="A287" s="95" t="s">
        <v>183</v>
      </c>
      <c r="B287" s="94"/>
      <c r="C287" s="128" t="s">
        <v>253</v>
      </c>
      <c r="D287" s="128"/>
      <c r="E287" s="128"/>
      <c r="F287" s="128"/>
      <c r="G287" s="128"/>
      <c r="H287" s="128"/>
      <c r="I287" s="128"/>
      <c r="J287" s="128"/>
      <c r="K287" s="130"/>
      <c r="L287" s="130"/>
      <c r="M287" s="130"/>
      <c r="N287" s="132"/>
      <c r="O287" s="162"/>
      <c r="P287" s="162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  <c r="BC287" s="163"/>
      <c r="BD287" s="163"/>
      <c r="BE287" s="163"/>
      <c r="BF287" s="163"/>
      <c r="BG287" s="163"/>
      <c r="BH287" s="163"/>
      <c r="BI287" s="163"/>
      <c r="BJ287" s="163"/>
      <c r="BK287" s="163"/>
    </row>
    <row r="288" spans="1:63" ht="20.25">
      <c r="A288" s="95"/>
      <c r="B288" s="94"/>
      <c r="C288" s="128" t="s">
        <v>493</v>
      </c>
      <c r="D288" s="128"/>
      <c r="E288" s="128"/>
      <c r="F288" s="128"/>
      <c r="G288" s="128"/>
      <c r="H288" s="128"/>
      <c r="I288" s="128"/>
      <c r="J288" s="128"/>
      <c r="K288" s="130"/>
      <c r="L288" s="130"/>
      <c r="M288" s="130"/>
      <c r="N288" s="132"/>
      <c r="O288" s="170"/>
      <c r="P288" s="162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  <c r="BE288" s="163"/>
      <c r="BF288" s="163"/>
      <c r="BG288" s="163"/>
      <c r="BH288" s="163"/>
      <c r="BI288" s="163"/>
      <c r="BJ288" s="163"/>
      <c r="BK288" s="163"/>
    </row>
    <row r="289" spans="1:63" ht="20.25">
      <c r="A289" s="95"/>
      <c r="B289" s="94"/>
      <c r="C289" s="128" t="s">
        <v>494</v>
      </c>
      <c r="D289" s="128"/>
      <c r="E289" s="128"/>
      <c r="F289" s="128"/>
      <c r="G289" s="128"/>
      <c r="H289" s="128"/>
      <c r="I289" s="128"/>
      <c r="J289" s="128"/>
      <c r="K289" s="130"/>
      <c r="L289" s="130"/>
      <c r="M289" s="130"/>
      <c r="N289" s="132"/>
      <c r="O289" s="170"/>
      <c r="P289" s="162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  <c r="BE289" s="163"/>
      <c r="BF289" s="163"/>
      <c r="BG289" s="163"/>
      <c r="BH289" s="163"/>
      <c r="BI289" s="163"/>
      <c r="BJ289" s="163"/>
      <c r="BK289" s="163"/>
    </row>
    <row r="290" spans="1:63" ht="20.25">
      <c r="A290" s="95" t="s">
        <v>184</v>
      </c>
      <c r="B290" s="94"/>
      <c r="C290" s="128" t="s">
        <v>251</v>
      </c>
      <c r="D290" s="128"/>
      <c r="E290" s="128"/>
      <c r="F290" s="128"/>
      <c r="G290" s="128"/>
      <c r="H290" s="128"/>
      <c r="I290" s="128"/>
      <c r="J290" s="128"/>
      <c r="K290" s="130"/>
      <c r="L290" s="130"/>
      <c r="M290" s="130"/>
      <c r="N290" s="132"/>
      <c r="O290" s="162"/>
      <c r="P290" s="162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</row>
    <row r="291" spans="1:63" ht="20.25">
      <c r="A291" s="95" t="s">
        <v>185</v>
      </c>
      <c r="B291" s="94"/>
      <c r="C291" s="128" t="s">
        <v>186</v>
      </c>
      <c r="D291" s="128"/>
      <c r="E291" s="128"/>
      <c r="F291" s="128"/>
      <c r="G291" s="128"/>
      <c r="H291" s="128"/>
      <c r="I291" s="128"/>
      <c r="J291" s="128"/>
      <c r="K291" s="130"/>
      <c r="L291" s="130"/>
      <c r="M291" s="130"/>
      <c r="N291" s="132"/>
      <c r="O291" s="162"/>
      <c r="P291" s="162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/>
      <c r="BB291" s="163"/>
      <c r="BC291" s="163"/>
      <c r="BD291" s="163"/>
      <c r="BE291" s="163"/>
      <c r="BF291" s="163"/>
      <c r="BG291" s="163"/>
      <c r="BH291" s="163"/>
      <c r="BI291" s="163"/>
      <c r="BJ291" s="163"/>
      <c r="BK291" s="163"/>
    </row>
    <row r="292" spans="1:63" ht="20.25">
      <c r="A292" s="95"/>
      <c r="B292" s="94"/>
      <c r="C292" s="128" t="s">
        <v>187</v>
      </c>
      <c r="D292" s="128"/>
      <c r="E292" s="128"/>
      <c r="F292" s="128"/>
      <c r="G292" s="128"/>
      <c r="H292" s="128"/>
      <c r="I292" s="128"/>
      <c r="J292" s="128"/>
      <c r="K292" s="130"/>
      <c r="L292" s="130"/>
      <c r="M292" s="130"/>
      <c r="N292" s="132"/>
      <c r="O292" s="162"/>
      <c r="P292" s="162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63"/>
      <c r="BD292" s="163"/>
      <c r="BE292" s="163"/>
      <c r="BF292" s="163"/>
      <c r="BG292" s="163"/>
      <c r="BH292" s="163"/>
      <c r="BI292" s="163"/>
      <c r="BJ292" s="163"/>
      <c r="BK292" s="163"/>
    </row>
    <row r="293" spans="1:63" ht="20.25">
      <c r="A293" s="95"/>
      <c r="B293" s="94"/>
      <c r="C293" s="128" t="s">
        <v>188</v>
      </c>
      <c r="D293" s="128"/>
      <c r="E293" s="128"/>
      <c r="F293" s="128"/>
      <c r="G293" s="128"/>
      <c r="H293" s="128"/>
      <c r="I293" s="128"/>
      <c r="J293" s="128"/>
      <c r="K293" s="130"/>
      <c r="L293" s="130"/>
      <c r="M293" s="130"/>
      <c r="N293" s="132"/>
      <c r="O293" s="162"/>
      <c r="P293" s="162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3"/>
      <c r="BC293" s="163"/>
      <c r="BD293" s="163"/>
      <c r="BE293" s="163"/>
      <c r="BF293" s="163"/>
      <c r="BG293" s="163"/>
      <c r="BH293" s="163"/>
      <c r="BI293" s="163"/>
      <c r="BJ293" s="163"/>
      <c r="BK293" s="163"/>
    </row>
    <row r="294" spans="1:63" ht="20.25">
      <c r="A294" s="95" t="s">
        <v>189</v>
      </c>
      <c r="B294" s="94"/>
      <c r="C294" s="128" t="s">
        <v>212</v>
      </c>
      <c r="D294" s="128"/>
      <c r="E294" s="128"/>
      <c r="F294" s="128"/>
      <c r="G294" s="128"/>
      <c r="H294" s="128"/>
      <c r="I294" s="128"/>
      <c r="J294" s="128"/>
      <c r="K294" s="130"/>
      <c r="L294" s="130"/>
      <c r="M294" s="130"/>
      <c r="N294" s="132"/>
      <c r="O294" s="162"/>
      <c r="P294" s="162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  <c r="AS294" s="163"/>
      <c r="AT294" s="163"/>
      <c r="AU294" s="163"/>
      <c r="AV294" s="163"/>
      <c r="AW294" s="163"/>
      <c r="AX294" s="163"/>
      <c r="AY294" s="163"/>
      <c r="AZ294" s="163"/>
      <c r="BA294" s="163"/>
      <c r="BB294" s="163"/>
      <c r="BC294" s="163"/>
      <c r="BD294" s="163"/>
      <c r="BE294" s="163"/>
      <c r="BF294" s="163"/>
      <c r="BG294" s="163"/>
      <c r="BH294" s="163"/>
      <c r="BI294" s="163"/>
      <c r="BJ294" s="163"/>
      <c r="BK294" s="163"/>
    </row>
    <row r="295" spans="1:63" ht="20.25">
      <c r="A295" s="95"/>
      <c r="B295" s="94"/>
      <c r="C295" s="128" t="s">
        <v>224</v>
      </c>
      <c r="D295" s="128"/>
      <c r="E295" s="128"/>
      <c r="F295" s="128"/>
      <c r="G295" s="128"/>
      <c r="H295" s="128"/>
      <c r="I295" s="128"/>
      <c r="J295" s="128"/>
      <c r="K295" s="130"/>
      <c r="L295" s="130"/>
      <c r="M295" s="130"/>
      <c r="N295" s="132"/>
      <c r="O295" s="162"/>
      <c r="P295" s="162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63"/>
      <c r="BD295" s="163"/>
      <c r="BE295" s="163"/>
      <c r="BF295" s="163"/>
      <c r="BG295" s="163"/>
      <c r="BH295" s="163"/>
      <c r="BI295" s="163"/>
      <c r="BJ295" s="163"/>
      <c r="BK295" s="163"/>
    </row>
    <row r="296" spans="1:63" ht="20.25">
      <c r="A296" s="95" t="s">
        <v>190</v>
      </c>
      <c r="B296" s="94"/>
      <c r="C296" s="128" t="s">
        <v>374</v>
      </c>
      <c r="D296" s="128"/>
      <c r="E296" s="128"/>
      <c r="F296" s="128"/>
      <c r="G296" s="128"/>
      <c r="H296" s="128"/>
      <c r="I296" s="128"/>
      <c r="J296" s="128"/>
      <c r="K296" s="130"/>
      <c r="L296" s="130"/>
      <c r="M296" s="130"/>
      <c r="N296" s="132"/>
      <c r="O296" s="162"/>
      <c r="P296" s="162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63"/>
      <c r="BD296" s="163"/>
      <c r="BE296" s="163"/>
      <c r="BF296" s="163"/>
      <c r="BG296" s="163"/>
      <c r="BH296" s="163"/>
      <c r="BI296" s="163"/>
      <c r="BJ296" s="163"/>
      <c r="BK296" s="163"/>
    </row>
    <row r="297" spans="1:63" ht="18">
      <c r="A297" s="95" t="s">
        <v>260</v>
      </c>
      <c r="B297" s="3"/>
      <c r="C297" s="128" t="s">
        <v>261</v>
      </c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5"/>
      <c r="O297" s="162"/>
      <c r="P297" s="162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3"/>
    </row>
    <row r="298" spans="2:63" ht="18">
      <c r="B298" s="3"/>
      <c r="C298" s="128" t="s">
        <v>495</v>
      </c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5"/>
      <c r="O298" s="162"/>
      <c r="P298" s="162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  <c r="BE298" s="163"/>
      <c r="BF298" s="163"/>
      <c r="BG298" s="163"/>
      <c r="BH298" s="163"/>
      <c r="BI298" s="163"/>
      <c r="BJ298" s="163"/>
      <c r="BK298" s="163"/>
    </row>
    <row r="299" spans="3:63" ht="18">
      <c r="C299" s="136" t="s">
        <v>496</v>
      </c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62"/>
      <c r="P299" s="162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63"/>
      <c r="BD299" s="163"/>
      <c r="BE299" s="163"/>
      <c r="BF299" s="163"/>
      <c r="BG299" s="163"/>
      <c r="BH299" s="163"/>
      <c r="BI299" s="163"/>
      <c r="BJ299" s="163"/>
      <c r="BK299" s="163"/>
    </row>
    <row r="300" spans="1:63" ht="18">
      <c r="A300" s="125" t="s">
        <v>268</v>
      </c>
      <c r="B300" s="124"/>
      <c r="C300" s="136" t="s">
        <v>269</v>
      </c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62"/>
      <c r="P300" s="162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  <c r="BE300" s="163"/>
      <c r="BF300" s="163"/>
      <c r="BG300" s="163"/>
      <c r="BH300" s="163"/>
      <c r="BI300" s="163"/>
      <c r="BJ300" s="163"/>
      <c r="BK300" s="163"/>
    </row>
    <row r="301" spans="1:63" ht="18">
      <c r="A301" s="124"/>
      <c r="B301" s="124"/>
      <c r="C301" s="136" t="s">
        <v>373</v>
      </c>
      <c r="D301" s="171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62"/>
      <c r="P301" s="162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  <c r="BE301" s="163"/>
      <c r="BF301" s="163"/>
      <c r="BG301" s="163"/>
      <c r="BH301" s="163"/>
      <c r="BI301" s="163"/>
      <c r="BJ301" s="163"/>
      <c r="BK301" s="163"/>
    </row>
    <row r="302" spans="1:19" ht="18">
      <c r="A302" s="124"/>
      <c r="B302" s="124"/>
      <c r="C302" s="136" t="s">
        <v>372</v>
      </c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5"/>
      <c r="P302" s="5"/>
      <c r="Q302" s="6"/>
      <c r="R302" s="6"/>
      <c r="S302" s="6"/>
    </row>
    <row r="303" spans="1:19" ht="18">
      <c r="A303" s="124"/>
      <c r="B303" s="124"/>
      <c r="C303" s="136" t="s">
        <v>371</v>
      </c>
      <c r="D303" s="139"/>
      <c r="E303" s="140"/>
      <c r="F303" s="139"/>
      <c r="G303" s="139"/>
      <c r="H303" s="139"/>
      <c r="I303" s="139"/>
      <c r="J303" s="139"/>
      <c r="K303" s="139"/>
      <c r="L303" s="139"/>
      <c r="M303" s="139"/>
      <c r="N303" s="139"/>
      <c r="O303" s="5"/>
      <c r="P303" s="5"/>
      <c r="Q303" s="6"/>
      <c r="R303" s="6"/>
      <c r="S303" s="6"/>
    </row>
    <row r="304" spans="1:19" ht="18">
      <c r="A304" s="125" t="s">
        <v>451</v>
      </c>
      <c r="B304" s="124"/>
      <c r="C304" s="136" t="s">
        <v>454</v>
      </c>
      <c r="D304" s="139"/>
      <c r="E304" s="139"/>
      <c r="F304" s="139"/>
      <c r="G304" s="139"/>
      <c r="H304" s="139"/>
      <c r="I304" s="139"/>
      <c r="J304" s="139"/>
      <c r="K304" s="139"/>
      <c r="L304" s="139"/>
      <c r="M304" s="5"/>
      <c r="N304" s="5"/>
      <c r="O304" s="5"/>
      <c r="P304" s="5"/>
      <c r="Q304" s="6"/>
      <c r="R304" s="6"/>
      <c r="S304" s="6"/>
    </row>
    <row r="305" spans="1:19" ht="20.25">
      <c r="A305" s="125" t="s">
        <v>452</v>
      </c>
      <c r="B305" s="124"/>
      <c r="C305" s="136" t="s">
        <v>509</v>
      </c>
      <c r="D305" s="139"/>
      <c r="E305" s="139"/>
      <c r="F305" s="139"/>
      <c r="G305" s="139"/>
      <c r="H305" s="139"/>
      <c r="I305" s="139"/>
      <c r="J305" s="139"/>
      <c r="K305" s="139"/>
      <c r="L305" s="139"/>
      <c r="M305" s="182"/>
      <c r="N305" s="182"/>
      <c r="O305" s="182"/>
      <c r="P305" s="5"/>
      <c r="Q305" s="6"/>
      <c r="R305" s="6"/>
      <c r="S305" s="6"/>
    </row>
    <row r="306" spans="1:19" ht="20.25">
      <c r="A306" s="125"/>
      <c r="B306" s="124"/>
      <c r="C306" s="136" t="s">
        <v>510</v>
      </c>
      <c r="D306" s="139"/>
      <c r="E306" s="139"/>
      <c r="F306" s="139"/>
      <c r="G306" s="139"/>
      <c r="H306" s="139"/>
      <c r="I306" s="139"/>
      <c r="J306" s="139"/>
      <c r="K306" s="139"/>
      <c r="L306" s="139"/>
      <c r="M306" s="193"/>
      <c r="N306" s="6"/>
      <c r="O306" s="6"/>
      <c r="P306" s="6"/>
      <c r="Q306" s="6"/>
      <c r="R306" s="6"/>
      <c r="S306" s="6"/>
    </row>
    <row r="307" spans="1:19" ht="20.25">
      <c r="A307" s="181" t="s">
        <v>453</v>
      </c>
      <c r="B307" s="124"/>
      <c r="C307" s="136" t="s">
        <v>455</v>
      </c>
      <c r="D307" s="139"/>
      <c r="E307" s="139"/>
      <c r="F307" s="139"/>
      <c r="G307" s="139"/>
      <c r="H307" s="139"/>
      <c r="I307" s="139"/>
      <c r="J307" s="139"/>
      <c r="K307" s="139"/>
      <c r="L307" s="139"/>
      <c r="M307" s="193"/>
      <c r="N307" s="6"/>
      <c r="O307" s="6"/>
      <c r="P307" s="6"/>
      <c r="Q307" s="6"/>
      <c r="R307" s="6"/>
      <c r="S307" s="6"/>
    </row>
    <row r="308" spans="1:19" ht="20.25">
      <c r="A308" s="184"/>
      <c r="B308" s="182"/>
      <c r="C308" s="186"/>
      <c r="D308" s="187"/>
      <c r="E308" s="186"/>
      <c r="F308" s="182"/>
      <c r="G308" s="197"/>
      <c r="H308" s="182"/>
      <c r="I308" s="252" t="s">
        <v>2</v>
      </c>
      <c r="K308" s="182"/>
      <c r="L308" s="192"/>
      <c r="M308" s="193"/>
      <c r="N308" s="6"/>
      <c r="O308" s="6"/>
      <c r="P308" s="6"/>
      <c r="Q308" s="6"/>
      <c r="R308" s="6"/>
      <c r="S308" s="6"/>
    </row>
    <row r="309" spans="1:19" ht="20.25">
      <c r="A309" s="184"/>
      <c r="B309" s="182"/>
      <c r="C309" s="186"/>
      <c r="D309" s="187"/>
      <c r="E309" s="186"/>
      <c r="F309" s="182"/>
      <c r="G309" s="197"/>
      <c r="H309" s="182"/>
      <c r="I309" s="252"/>
      <c r="J309" s="282"/>
      <c r="K309" s="182"/>
      <c r="L309" s="192"/>
      <c r="M309" s="193"/>
      <c r="N309" s="6"/>
      <c r="O309" s="6"/>
      <c r="P309" s="6"/>
      <c r="Q309" s="6"/>
      <c r="R309" s="6"/>
      <c r="S309" s="6"/>
    </row>
    <row r="310" spans="1:19" ht="20.25">
      <c r="A310" s="184"/>
      <c r="B310" s="182"/>
      <c r="C310" s="186"/>
      <c r="D310" s="187"/>
      <c r="E310" s="186"/>
      <c r="F310" s="182"/>
      <c r="G310" s="197"/>
      <c r="H310" s="182"/>
      <c r="I310" s="252"/>
      <c r="J310" s="282"/>
      <c r="K310" s="182"/>
      <c r="L310" s="192"/>
      <c r="M310" s="193"/>
      <c r="N310" s="6"/>
      <c r="O310" s="6"/>
      <c r="P310" s="6"/>
      <c r="Q310" s="6"/>
      <c r="R310" s="6"/>
      <c r="S310" s="6"/>
    </row>
    <row r="311" spans="1:19" ht="20.25">
      <c r="A311" s="184"/>
      <c r="B311" s="182"/>
      <c r="C311" s="186"/>
      <c r="D311" s="187"/>
      <c r="E311" s="186"/>
      <c r="F311" s="182"/>
      <c r="G311" s="197"/>
      <c r="H311" s="182"/>
      <c r="I311" s="252"/>
      <c r="J311" s="282" t="str">
        <f>+J1</f>
        <v>Statement BK</v>
      </c>
      <c r="K311" s="182"/>
      <c r="L311" s="192"/>
      <c r="M311" s="193"/>
      <c r="N311" s="6"/>
      <c r="O311" s="6"/>
      <c r="P311" s="6"/>
      <c r="Q311" s="6"/>
      <c r="R311" s="6"/>
      <c r="S311" s="6"/>
    </row>
    <row r="312" spans="1:19" ht="20.25">
      <c r="A312" s="184"/>
      <c r="B312" s="182"/>
      <c r="C312" s="186"/>
      <c r="D312" s="187"/>
      <c r="E312" s="186"/>
      <c r="F312" s="182"/>
      <c r="G312" s="197"/>
      <c r="H312" s="182"/>
      <c r="I312" s="182"/>
      <c r="J312" s="282" t="s">
        <v>469</v>
      </c>
      <c r="K312" s="182"/>
      <c r="L312" s="192"/>
      <c r="M312" s="193"/>
      <c r="N312" s="6"/>
      <c r="O312" s="6"/>
      <c r="P312" s="6"/>
      <c r="Q312" s="6"/>
      <c r="R312" s="6"/>
      <c r="S312" s="6"/>
    </row>
    <row r="313" spans="1:19" ht="20.25">
      <c r="A313" s="184"/>
      <c r="B313" s="182"/>
      <c r="D313" s="187"/>
      <c r="F313" s="187"/>
      <c r="G313" s="187"/>
      <c r="H313" s="187"/>
      <c r="I313" s="51" t="s">
        <v>270</v>
      </c>
      <c r="J313" s="282"/>
      <c r="K313" s="187"/>
      <c r="L313" s="192"/>
      <c r="M313" s="193"/>
      <c r="N313" s="6"/>
      <c r="O313" s="6"/>
      <c r="P313" s="6"/>
      <c r="Q313" s="6"/>
      <c r="R313" s="6"/>
      <c r="S313" s="6"/>
    </row>
    <row r="314" spans="1:19" ht="20.25">
      <c r="A314" s="184"/>
      <c r="B314" s="182"/>
      <c r="C314" s="186"/>
      <c r="D314" s="187"/>
      <c r="E314" s="187" t="str">
        <f>+E4</f>
        <v>KANSAS GAS AND ELECTRIC COMPANY</v>
      </c>
      <c r="F314" s="182"/>
      <c r="G314" s="197"/>
      <c r="H314" s="182"/>
      <c r="I314" s="182"/>
      <c r="J314" s="258" t="s">
        <v>388</v>
      </c>
      <c r="K314" s="182"/>
      <c r="L314" s="192"/>
      <c r="M314" s="193"/>
      <c r="N314" s="6"/>
      <c r="O314" s="6"/>
      <c r="P314" s="6"/>
      <c r="Q314" s="6"/>
      <c r="R314" s="6"/>
      <c r="S314" s="6"/>
    </row>
    <row r="315" spans="1:19" ht="20.25">
      <c r="A315" s="184"/>
      <c r="B315" s="182"/>
      <c r="C315" s="186"/>
      <c r="D315" s="187"/>
      <c r="E315" s="187" t="str">
        <f>+E5</f>
        <v>(WES)</v>
      </c>
      <c r="F315" s="182"/>
      <c r="G315" s="197"/>
      <c r="H315" s="182"/>
      <c r="I315" s="182"/>
      <c r="J315" s="258"/>
      <c r="K315" s="182"/>
      <c r="L315" s="192"/>
      <c r="M315" s="193"/>
      <c r="N315" s="6"/>
      <c r="O315" s="6"/>
      <c r="P315" s="6"/>
      <c r="Q315" s="6"/>
      <c r="R315" s="6"/>
      <c r="S315" s="6"/>
    </row>
    <row r="316" spans="1:19" ht="20.25">
      <c r="A316" s="184"/>
      <c r="B316" s="182"/>
      <c r="C316" s="186"/>
      <c r="D316" s="187"/>
      <c r="E316" s="186"/>
      <c r="F316" s="182"/>
      <c r="G316" s="197"/>
      <c r="H316" s="182"/>
      <c r="I316" s="182"/>
      <c r="J316" s="258"/>
      <c r="K316" s="182"/>
      <c r="L316" s="192"/>
      <c r="M316" s="193"/>
      <c r="N316" s="6"/>
      <c r="O316" s="6"/>
      <c r="P316" s="6"/>
      <c r="Q316" s="6"/>
      <c r="R316" s="6"/>
      <c r="S316" s="6"/>
    </row>
    <row r="317" spans="1:19" ht="20.25">
      <c r="A317" s="184"/>
      <c r="B317" s="182"/>
      <c r="C317" s="186"/>
      <c r="D317" s="187"/>
      <c r="E317" s="281" t="s">
        <v>358</v>
      </c>
      <c r="F317" s="182"/>
      <c r="G317" s="197"/>
      <c r="H317" s="182"/>
      <c r="I317" s="182"/>
      <c r="J317" s="258"/>
      <c r="K317" s="182"/>
      <c r="L317" s="192"/>
      <c r="M317" s="193"/>
      <c r="N317" s="6"/>
      <c r="O317" s="6"/>
      <c r="P317" s="6"/>
      <c r="Q317" s="6"/>
      <c r="R317" s="6"/>
      <c r="S317" s="6"/>
    </row>
    <row r="318" spans="1:19" ht="20.25">
      <c r="A318" s="184"/>
      <c r="B318" s="224"/>
      <c r="C318" s="186"/>
      <c r="D318" s="187"/>
      <c r="E318" s="197"/>
      <c r="G318" s="180"/>
      <c r="H318" s="6"/>
      <c r="I318" s="6"/>
      <c r="K318" s="182"/>
      <c r="L318" s="192"/>
      <c r="M318" s="193"/>
      <c r="N318" s="6"/>
      <c r="O318" s="6"/>
      <c r="P318" s="6"/>
      <c r="Q318" s="6"/>
      <c r="R318" s="6"/>
      <c r="S318" s="6"/>
    </row>
    <row r="319" spans="1:19" ht="54" customHeight="1">
      <c r="A319" s="211" t="s">
        <v>328</v>
      </c>
      <c r="B319" s="223"/>
      <c r="C319" s="231" t="s">
        <v>2</v>
      </c>
      <c r="D319" s="187"/>
      <c r="E319" s="197"/>
      <c r="G319" s="180"/>
      <c r="H319" s="207" t="s">
        <v>321</v>
      </c>
      <c r="I319" s="5"/>
      <c r="J319" s="5"/>
      <c r="K319" s="206"/>
      <c r="M319" s="193"/>
      <c r="N319" s="6"/>
      <c r="O319" s="6"/>
      <c r="P319" s="207" t="s">
        <v>321</v>
      </c>
      <c r="Q319" s="6"/>
      <c r="R319" s="6"/>
      <c r="S319" s="6"/>
    </row>
    <row r="320" spans="1:19" ht="18.75" customHeight="1">
      <c r="A320" s="211"/>
      <c r="B320" s="223"/>
      <c r="C320" s="191" t="s">
        <v>341</v>
      </c>
      <c r="D320" s="187"/>
      <c r="E320" s="197" t="s">
        <v>267</v>
      </c>
      <c r="G320" s="180"/>
      <c r="H320" s="207"/>
      <c r="I320" s="5"/>
      <c r="J320" s="5"/>
      <c r="K320" s="206"/>
      <c r="M320" s="193"/>
      <c r="N320" s="6"/>
      <c r="O320" s="6"/>
      <c r="P320" s="207"/>
      <c r="Q320" s="6"/>
      <c r="R320" s="6"/>
      <c r="S320" s="6"/>
    </row>
    <row r="321" spans="1:19" ht="20.25">
      <c r="A321" s="202"/>
      <c r="C321" s="199" t="s">
        <v>155</v>
      </c>
      <c r="D321" s="6"/>
      <c r="E321" s="6"/>
      <c r="F321" s="6"/>
      <c r="G321" s="6"/>
      <c r="H321" s="190" t="s">
        <v>2</v>
      </c>
      <c r="I321" s="6"/>
      <c r="J321" s="6"/>
      <c r="K321" s="212"/>
      <c r="L321" s="5"/>
      <c r="M321" s="5"/>
      <c r="N321" s="5"/>
      <c r="O321" s="5"/>
      <c r="P321" s="6"/>
      <c r="Q321" s="6"/>
      <c r="R321" s="6"/>
      <c r="S321" s="6"/>
    </row>
    <row r="322" spans="1:19" ht="20.25">
      <c r="A322" s="188" t="s">
        <v>2</v>
      </c>
      <c r="C322" s="199" t="s">
        <v>376</v>
      </c>
      <c r="D322" s="6"/>
      <c r="E322" s="6"/>
      <c r="F322" s="6"/>
      <c r="G322" s="6"/>
      <c r="H322" s="190">
        <f>1272321.7+29215.04+6850+17358.9+25288.9+1417968.96</f>
        <v>2769003.5</v>
      </c>
      <c r="I322" s="6"/>
      <c r="J322" s="190"/>
      <c r="K322" s="212"/>
      <c r="L322" s="5"/>
      <c r="M322" s="5"/>
      <c r="N322" s="5"/>
      <c r="O322" s="5"/>
      <c r="P322" s="6"/>
      <c r="Q322" s="6"/>
      <c r="R322" s="6"/>
      <c r="S322" s="6"/>
    </row>
    <row r="323" spans="2:19" ht="20.25">
      <c r="B323" s="182"/>
      <c r="C323" s="204" t="s">
        <v>343</v>
      </c>
      <c r="D323" s="183"/>
      <c r="F323" s="200"/>
      <c r="G323" s="200"/>
      <c r="I323" s="200"/>
      <c r="K323" s="212"/>
      <c r="L323" s="6"/>
      <c r="M323" s="6"/>
      <c r="N323" s="6"/>
      <c r="O323" s="6"/>
      <c r="P323" s="6"/>
      <c r="Q323" s="6"/>
      <c r="R323" s="6"/>
      <c r="S323" s="6"/>
    </row>
    <row r="324" spans="2:19" ht="20.25">
      <c r="B324" s="182"/>
      <c r="C324" s="197" t="s">
        <v>441</v>
      </c>
      <c r="D324" s="183"/>
      <c r="E324" s="265"/>
      <c r="F324" s="200"/>
      <c r="G324" s="200"/>
      <c r="H324" s="190">
        <v>1417968.96</v>
      </c>
      <c r="I324" s="200"/>
      <c r="J324" s="190"/>
      <c r="K324" s="212"/>
      <c r="L324" s="6"/>
      <c r="M324" s="6"/>
      <c r="N324" s="6"/>
      <c r="O324" s="6"/>
      <c r="P324" s="6"/>
      <c r="Q324" s="6"/>
      <c r="R324" s="6"/>
      <c r="S324" s="6"/>
    </row>
    <row r="325" spans="2:19" ht="20.25">
      <c r="B325" s="182"/>
      <c r="C325" s="197" t="s">
        <v>442</v>
      </c>
      <c r="D325" s="183"/>
      <c r="E325" s="265"/>
      <c r="F325" s="200"/>
      <c r="G325" s="200"/>
      <c r="H325" s="237">
        <v>25288.9</v>
      </c>
      <c r="I325" s="200"/>
      <c r="J325" s="237"/>
      <c r="K325" s="212"/>
      <c r="L325" s="6"/>
      <c r="M325" s="6"/>
      <c r="N325" s="6"/>
      <c r="O325" s="6"/>
      <c r="P325" s="6"/>
      <c r="Q325" s="6"/>
      <c r="R325" s="6"/>
      <c r="S325" s="6"/>
    </row>
    <row r="326" spans="2:19" ht="20.25">
      <c r="B326" s="182"/>
      <c r="C326" s="197" t="s">
        <v>394</v>
      </c>
      <c r="D326" s="183"/>
      <c r="F326" s="200"/>
      <c r="G326" s="200"/>
      <c r="H326" s="254">
        <f>+E332</f>
        <v>1287060.2919</v>
      </c>
      <c r="I326" s="200"/>
      <c r="J326" s="251"/>
      <c r="K326" s="212"/>
      <c r="L326" s="6"/>
      <c r="M326" s="6"/>
      <c r="N326" s="6"/>
      <c r="O326" s="6"/>
      <c r="P326" s="6"/>
      <c r="Q326" s="6"/>
      <c r="R326" s="6"/>
      <c r="S326" s="6"/>
    </row>
    <row r="327" spans="2:19" ht="20.25">
      <c r="B327" s="182"/>
      <c r="C327" s="199" t="s">
        <v>443</v>
      </c>
      <c r="D327" s="183"/>
      <c r="F327" s="200"/>
      <c r="G327" s="200"/>
      <c r="H327" s="201">
        <f>+H322-H324-H325-H326</f>
        <v>38685.34810000006</v>
      </c>
      <c r="I327" s="200"/>
      <c r="J327" s="266"/>
      <c r="K327" s="212"/>
      <c r="L327" s="6"/>
      <c r="M327" s="6"/>
      <c r="N327" s="6"/>
      <c r="O327" s="6"/>
      <c r="P327" s="6"/>
      <c r="Q327" s="6"/>
      <c r="R327" s="6"/>
      <c r="S327" s="6"/>
    </row>
    <row r="328" spans="2:19" ht="20.25">
      <c r="B328" s="182"/>
      <c r="C328" s="204"/>
      <c r="D328" s="183"/>
      <c r="F328" s="200"/>
      <c r="G328" s="200"/>
      <c r="H328" s="251"/>
      <c r="I328" s="200"/>
      <c r="K328" s="212"/>
      <c r="L328" s="6"/>
      <c r="M328" s="6"/>
      <c r="N328" s="6"/>
      <c r="O328" s="6"/>
      <c r="P328" s="6"/>
      <c r="Q328" s="6"/>
      <c r="R328" s="6"/>
      <c r="S328" s="6"/>
    </row>
    <row r="329" spans="2:19" ht="20.25">
      <c r="B329" s="182"/>
      <c r="C329" s="197" t="s">
        <v>389</v>
      </c>
      <c r="D329" s="183"/>
      <c r="F329" s="200"/>
      <c r="G329" s="200"/>
      <c r="H329" s="251" t="s">
        <v>2</v>
      </c>
      <c r="I329" s="200"/>
      <c r="K329" s="212"/>
      <c r="L329" s="6"/>
      <c r="M329" s="6"/>
      <c r="N329" s="6"/>
      <c r="O329" s="6"/>
      <c r="P329" s="6"/>
      <c r="Q329" s="6"/>
      <c r="R329" s="6"/>
      <c r="S329" s="6"/>
    </row>
    <row r="330" spans="2:19" ht="20.25">
      <c r="B330" s="182"/>
      <c r="C330" s="204" t="s">
        <v>390</v>
      </c>
      <c r="D330" s="183"/>
      <c r="E330" s="226">
        <f>1272322+29215+6850</f>
        <v>1308387</v>
      </c>
      <c r="F330" s="200"/>
      <c r="G330" s="200"/>
      <c r="H330" s="251" t="s">
        <v>2</v>
      </c>
      <c r="I330" s="200"/>
      <c r="K330" s="212"/>
      <c r="L330" s="6"/>
      <c r="M330" s="6"/>
      <c r="N330" s="6"/>
      <c r="O330" s="6"/>
      <c r="P330" s="6"/>
      <c r="Q330" s="6"/>
      <c r="R330" s="6"/>
      <c r="S330" s="6"/>
    </row>
    <row r="331" spans="2:19" ht="20.25">
      <c r="B331" s="182"/>
      <c r="C331" s="197" t="s">
        <v>391</v>
      </c>
      <c r="D331" s="183"/>
      <c r="E331" s="253">
        <v>0.9837</v>
      </c>
      <c r="F331" s="200"/>
      <c r="G331" s="200"/>
      <c r="H331" s="251" t="s">
        <v>100</v>
      </c>
      <c r="I331" s="200"/>
      <c r="K331" s="212"/>
      <c r="L331" s="6"/>
      <c r="M331" s="6"/>
      <c r="N331" s="6"/>
      <c r="O331" s="6"/>
      <c r="P331" s="6"/>
      <c r="Q331" s="6"/>
      <c r="R331" s="6"/>
      <c r="S331" s="6"/>
    </row>
    <row r="332" spans="2:19" ht="20.25">
      <c r="B332" s="182"/>
      <c r="C332" s="197" t="s">
        <v>392</v>
      </c>
      <c r="D332" s="183"/>
      <c r="E332" s="226">
        <f>+E330*E331</f>
        <v>1287060.2919</v>
      </c>
      <c r="F332" s="200"/>
      <c r="G332" s="200"/>
      <c r="H332" s="251" t="s">
        <v>2</v>
      </c>
      <c r="I332" s="200"/>
      <c r="K332" s="212"/>
      <c r="L332" s="6"/>
      <c r="M332" s="6"/>
      <c r="N332" s="6"/>
      <c r="O332" s="6"/>
      <c r="P332" s="6"/>
      <c r="Q332" s="6"/>
      <c r="R332" s="6"/>
      <c r="S332" s="6"/>
    </row>
    <row r="333" spans="2:19" ht="20.25">
      <c r="B333" s="182"/>
      <c r="C333" s="204"/>
      <c r="D333" s="183"/>
      <c r="F333" s="200"/>
      <c r="G333" s="200"/>
      <c r="H333" s="251" t="s">
        <v>2</v>
      </c>
      <c r="I333" s="200"/>
      <c r="K333" s="212"/>
      <c r="L333" s="6"/>
      <c r="M333" s="6"/>
      <c r="N333" s="6"/>
      <c r="O333" s="6"/>
      <c r="P333" s="6"/>
      <c r="Q333" s="6"/>
      <c r="R333" s="6"/>
      <c r="S333" s="6"/>
    </row>
    <row r="334" spans="2:19" ht="21" thickBot="1">
      <c r="B334" s="182"/>
      <c r="C334" s="199"/>
      <c r="D334" s="183"/>
      <c r="E334" s="255" t="s">
        <v>386</v>
      </c>
      <c r="F334" s="235" t="s">
        <v>327</v>
      </c>
      <c r="G334" s="200"/>
      <c r="H334" s="225"/>
      <c r="I334" s="200"/>
      <c r="K334" s="212"/>
      <c r="L334" s="6"/>
      <c r="M334" s="6"/>
      <c r="N334" s="6"/>
      <c r="O334" s="6"/>
      <c r="P334" s="6"/>
      <c r="Q334" s="6"/>
      <c r="R334" s="6"/>
      <c r="S334" s="6"/>
    </row>
    <row r="335" spans="2:19" ht="20.25">
      <c r="B335" s="182"/>
      <c r="C335" s="199"/>
      <c r="D335" s="183" t="s">
        <v>38</v>
      </c>
      <c r="E335" s="190">
        <v>2160</v>
      </c>
      <c r="F335" s="233">
        <f>+E335/E337</f>
        <v>0.01632159588937585</v>
      </c>
      <c r="G335" s="200"/>
      <c r="H335" s="225"/>
      <c r="I335" s="200"/>
      <c r="K335" s="212"/>
      <c r="L335" s="6"/>
      <c r="M335" s="6"/>
      <c r="N335" s="6"/>
      <c r="O335" s="6"/>
      <c r="P335" s="6"/>
      <c r="Q335" s="6"/>
      <c r="R335" s="6"/>
      <c r="S335" s="6"/>
    </row>
    <row r="336" spans="3:19" ht="21" thickBot="1">
      <c r="C336" s="196"/>
      <c r="D336" s="197" t="s">
        <v>344</v>
      </c>
      <c r="E336" s="236">
        <v>130180</v>
      </c>
      <c r="F336" s="234">
        <f>+E336/E337</f>
        <v>0.9836784041106241</v>
      </c>
      <c r="G336" s="197"/>
      <c r="H336" s="197"/>
      <c r="I336" s="197"/>
      <c r="J336" s="197"/>
      <c r="K336" s="183"/>
      <c r="L336" s="6"/>
      <c r="M336" s="6"/>
      <c r="N336" s="6"/>
      <c r="O336" s="6"/>
      <c r="P336" s="6"/>
      <c r="Q336" s="6"/>
      <c r="R336" s="6"/>
      <c r="S336" s="6"/>
    </row>
    <row r="337" spans="3:19" ht="20.25">
      <c r="C337" s="197"/>
      <c r="D337" s="197" t="s">
        <v>9</v>
      </c>
      <c r="E337" s="208">
        <f>SUM(E335:E336)</f>
        <v>132340</v>
      </c>
      <c r="F337" s="227">
        <f>SUM(F335:F336)</f>
        <v>1</v>
      </c>
      <c r="G337" s="197"/>
      <c r="H337" s="197"/>
      <c r="I337" s="197"/>
      <c r="J337" s="197"/>
      <c r="K337" s="183"/>
      <c r="L337" s="6"/>
      <c r="M337" s="6"/>
      <c r="N337" s="6"/>
      <c r="O337" s="6"/>
      <c r="P337" s="6"/>
      <c r="Q337" s="6"/>
      <c r="R337" s="6"/>
      <c r="S337" s="6"/>
    </row>
    <row r="338" spans="3:19" ht="20.25">
      <c r="C338" s="197"/>
      <c r="D338" s="197"/>
      <c r="E338" s="197"/>
      <c r="F338" s="197"/>
      <c r="G338" s="197"/>
      <c r="H338" s="197"/>
      <c r="I338" s="197"/>
      <c r="J338" s="197"/>
      <c r="K338" s="183"/>
      <c r="L338" s="6"/>
      <c r="M338" s="6"/>
      <c r="N338" s="6"/>
      <c r="O338" s="6"/>
      <c r="P338" s="6"/>
      <c r="Q338" s="6"/>
      <c r="R338" s="6"/>
      <c r="S338" s="6"/>
    </row>
    <row r="339" spans="3:19" ht="20.25">
      <c r="C339" s="199" t="s">
        <v>353</v>
      </c>
      <c r="D339" s="183"/>
      <c r="F339" s="200"/>
      <c r="G339" s="200"/>
      <c r="H339" s="225"/>
      <c r="I339" s="200"/>
      <c r="K339" s="183"/>
      <c r="L339" s="6"/>
      <c r="M339" s="6"/>
      <c r="N339" s="6"/>
      <c r="O339" s="6"/>
      <c r="P339" s="6"/>
      <c r="Q339" s="6"/>
      <c r="R339" s="6"/>
      <c r="S339" s="6"/>
    </row>
    <row r="340" spans="3:19" ht="20.25">
      <c r="C340" s="199"/>
      <c r="D340" s="183"/>
      <c r="F340" s="200"/>
      <c r="G340" s="200"/>
      <c r="H340" s="225"/>
      <c r="I340" s="200"/>
      <c r="K340" s="183"/>
      <c r="L340" s="6"/>
      <c r="M340" s="6"/>
      <c r="N340" s="6"/>
      <c r="O340" s="6"/>
      <c r="P340" s="6"/>
      <c r="Q340" s="6"/>
      <c r="R340" s="6"/>
      <c r="S340" s="6"/>
    </row>
    <row r="341" spans="3:19" ht="20.25">
      <c r="C341" s="197" t="s">
        <v>345</v>
      </c>
      <c r="D341" s="183"/>
      <c r="F341" s="200"/>
      <c r="G341" s="200"/>
      <c r="H341" s="225"/>
      <c r="I341" s="200"/>
      <c r="K341" s="183"/>
      <c r="L341" s="6"/>
      <c r="M341" s="6"/>
      <c r="N341" s="6"/>
      <c r="O341" s="6"/>
      <c r="P341" s="6"/>
      <c r="Q341" s="6"/>
      <c r="R341" s="6"/>
      <c r="S341" s="6"/>
    </row>
    <row r="342" spans="3:19" ht="20.25">
      <c r="C342" s="197" t="s">
        <v>348</v>
      </c>
      <c r="D342" s="183"/>
      <c r="F342" s="200"/>
      <c r="G342" s="200"/>
      <c r="H342" s="225"/>
      <c r="I342" s="200"/>
      <c r="K342" s="183"/>
      <c r="L342" s="6"/>
      <c r="M342" s="6"/>
      <c r="N342" s="6"/>
      <c r="O342" s="6"/>
      <c r="P342" s="6"/>
      <c r="Q342" s="6"/>
      <c r="R342" s="6"/>
      <c r="S342" s="6"/>
    </row>
    <row r="343" spans="3:19" ht="20.25">
      <c r="C343" s="199"/>
      <c r="D343" s="183"/>
      <c r="F343" s="200"/>
      <c r="G343" s="200"/>
      <c r="H343" s="225"/>
      <c r="I343" s="200"/>
      <c r="K343" s="183"/>
      <c r="L343" s="6"/>
      <c r="M343" s="6"/>
      <c r="N343" s="6"/>
      <c r="O343" s="6"/>
      <c r="P343" s="6"/>
      <c r="Q343" s="6"/>
      <c r="R343" s="6"/>
      <c r="S343" s="6"/>
    </row>
    <row r="344" spans="1:19" ht="20.25">
      <c r="A344" s="184"/>
      <c r="B344" s="180"/>
      <c r="C344" s="197"/>
      <c r="D344" s="197"/>
      <c r="E344" s="197"/>
      <c r="G344" s="180"/>
      <c r="H344" s="6"/>
      <c r="I344" s="6"/>
      <c r="J344" s="216" t="s">
        <v>2</v>
      </c>
      <c r="K344" s="6"/>
      <c r="L344" s="6"/>
      <c r="M344" s="6"/>
      <c r="N344" s="6"/>
      <c r="O344" s="6"/>
      <c r="P344" s="6"/>
      <c r="Q344" s="6"/>
      <c r="R344" s="6"/>
      <c r="S344" s="6"/>
    </row>
    <row r="345" spans="3:19" ht="20.25">
      <c r="C345" s="203" t="s">
        <v>329</v>
      </c>
      <c r="D345" s="182" t="s">
        <v>332</v>
      </c>
      <c r="Q345" s="6"/>
      <c r="R345" s="6"/>
      <c r="S345" s="6"/>
    </row>
    <row r="346" spans="1:19" ht="20.25">
      <c r="A346" s="213" t="s">
        <v>68</v>
      </c>
      <c r="B346" s="183"/>
      <c r="C346" s="197" t="s">
        <v>356</v>
      </c>
      <c r="D346" s="197"/>
      <c r="G346" s="180"/>
      <c r="H346" s="208">
        <v>249406805</v>
      </c>
      <c r="I346" s="6"/>
      <c r="J346" s="6"/>
      <c r="K346" s="183"/>
      <c r="Q346" s="6"/>
      <c r="R346" s="6"/>
      <c r="S346" s="6"/>
    </row>
    <row r="347" spans="1:19" ht="20.25">
      <c r="A347" s="213" t="s">
        <v>2</v>
      </c>
      <c r="B347" s="183"/>
      <c r="C347" s="204" t="s">
        <v>324</v>
      </c>
      <c r="D347" s="197"/>
      <c r="G347" s="180"/>
      <c r="H347" s="208" t="s">
        <v>2</v>
      </c>
      <c r="I347" s="6"/>
      <c r="J347" s="6"/>
      <c r="K347" s="183"/>
      <c r="Q347" s="6"/>
      <c r="R347" s="6"/>
      <c r="S347" s="6"/>
    </row>
    <row r="348" spans="1:19" ht="20.25">
      <c r="A348" s="213" t="s">
        <v>2</v>
      </c>
      <c r="B348" s="183"/>
      <c r="C348" s="197" t="s">
        <v>387</v>
      </c>
      <c r="D348" s="197"/>
      <c r="H348" s="209">
        <v>242584893.63</v>
      </c>
      <c r="J348" s="197"/>
      <c r="K348" s="183"/>
      <c r="Q348" s="6"/>
      <c r="R348" s="6"/>
      <c r="S348" s="6"/>
    </row>
    <row r="349" spans="1:19" ht="20.25">
      <c r="A349" s="213" t="s">
        <v>334</v>
      </c>
      <c r="B349" s="183" t="s">
        <v>2</v>
      </c>
      <c r="C349" s="197" t="s">
        <v>339</v>
      </c>
      <c r="D349" s="197"/>
      <c r="H349" s="210">
        <f>+H346-H348</f>
        <v>6821911.370000005</v>
      </c>
      <c r="J349" s="197"/>
      <c r="K349" s="183"/>
      <c r="Q349" s="6"/>
      <c r="R349" s="6"/>
      <c r="S349" s="6"/>
    </row>
    <row r="350" spans="1:19" ht="20.25">
      <c r="A350" s="214"/>
      <c r="B350" s="222"/>
      <c r="J350" s="6"/>
      <c r="K350" s="183"/>
      <c r="Q350" s="6"/>
      <c r="R350" s="6"/>
      <c r="S350" s="6"/>
    </row>
    <row r="351" spans="1:19" ht="20.25">
      <c r="A351" s="213" t="s">
        <v>69</v>
      </c>
      <c r="B351" s="183"/>
      <c r="C351" s="197" t="s">
        <v>357</v>
      </c>
      <c r="D351" s="204"/>
      <c r="G351" s="180"/>
      <c r="H351" s="321">
        <v>94584511</v>
      </c>
      <c r="I351" s="6"/>
      <c r="J351" s="280"/>
      <c r="K351" s="183"/>
      <c r="N351">
        <v>249406805</v>
      </c>
      <c r="O351" t="s">
        <v>459</v>
      </c>
      <c r="Q351" s="6"/>
      <c r="R351" s="6"/>
      <c r="S351" s="6"/>
    </row>
    <row r="352" spans="1:19" ht="20.25">
      <c r="A352" s="213" t="s">
        <v>2</v>
      </c>
      <c r="B352" s="183"/>
      <c r="C352" s="204" t="s">
        <v>324</v>
      </c>
      <c r="D352" s="197"/>
      <c r="H352" s="209"/>
      <c r="K352" s="183"/>
      <c r="N352">
        <v>11047734</v>
      </c>
      <c r="O352" t="s">
        <v>460</v>
      </c>
      <c r="Q352" s="6"/>
      <c r="R352" s="6"/>
      <c r="S352" s="6"/>
    </row>
    <row r="353" spans="1:19" ht="20.25">
      <c r="A353" s="213" t="s">
        <v>2</v>
      </c>
      <c r="B353" s="183"/>
      <c r="C353" s="197" t="s">
        <v>393</v>
      </c>
      <c r="D353" s="197"/>
      <c r="H353" s="321">
        <v>61241145</v>
      </c>
      <c r="K353" s="183"/>
      <c r="N353">
        <v>242584894</v>
      </c>
      <c r="O353" t="s">
        <v>461</v>
      </c>
      <c r="Q353" s="6"/>
      <c r="R353" s="6"/>
      <c r="S353" s="6"/>
    </row>
    <row r="354" spans="1:19" ht="20.25">
      <c r="A354" s="213"/>
      <c r="B354" s="183"/>
      <c r="C354" s="197" t="s">
        <v>508</v>
      </c>
      <c r="D354" s="197"/>
      <c r="H354" s="321">
        <v>2793259</v>
      </c>
      <c r="K354" s="183"/>
      <c r="Q354" s="6"/>
      <c r="R354" s="6"/>
      <c r="S354" s="6"/>
    </row>
    <row r="355" spans="2:19" ht="20.25">
      <c r="B355" s="183" t="s">
        <v>2</v>
      </c>
      <c r="C355" s="197" t="s">
        <v>340</v>
      </c>
      <c r="D355" s="197"/>
      <c r="H355" s="210">
        <f>+H351-H353-H354</f>
        <v>30550107</v>
      </c>
      <c r="K355" s="183"/>
      <c r="N355">
        <f>+N351+N352-N353</f>
        <v>17869645</v>
      </c>
      <c r="O355" t="s">
        <v>462</v>
      </c>
      <c r="Q355" s="6"/>
      <c r="R355" s="6"/>
      <c r="S355" s="6"/>
    </row>
    <row r="356" spans="2:19" ht="20.25">
      <c r="B356" s="183"/>
      <c r="K356" s="183"/>
      <c r="Q356" s="6"/>
      <c r="R356" s="6"/>
      <c r="S356" s="6"/>
    </row>
    <row r="357" spans="2:19" ht="20.25">
      <c r="B357" s="183"/>
      <c r="C357" s="218"/>
      <c r="D357" s="197"/>
      <c r="H357" s="215"/>
      <c r="K357" s="183"/>
      <c r="Q357" s="6"/>
      <c r="R357" s="6"/>
      <c r="S357" s="6"/>
    </row>
    <row r="358" spans="3:19" ht="20.25">
      <c r="C358" s="271" t="s">
        <v>77</v>
      </c>
      <c r="D358" s="272" t="s">
        <v>2</v>
      </c>
      <c r="E358" s="190"/>
      <c r="F358" s="197"/>
      <c r="G358" s="197"/>
      <c r="H358" s="197"/>
      <c r="I358" s="197"/>
      <c r="J358" s="197"/>
      <c r="K358" s="183"/>
      <c r="Q358" s="6"/>
      <c r="R358" s="6"/>
      <c r="S358" s="6"/>
    </row>
    <row r="359" spans="1:19" ht="20.25">
      <c r="A359" s="182" t="s">
        <v>78</v>
      </c>
      <c r="C359" s="193" t="s">
        <v>445</v>
      </c>
      <c r="D359" s="190" t="s">
        <v>2</v>
      </c>
      <c r="E359" s="182"/>
      <c r="F359" s="197"/>
      <c r="G359" s="197"/>
      <c r="H359" s="270">
        <v>50029671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3:19" ht="20.25">
      <c r="C360" s="192" t="s">
        <v>349</v>
      </c>
      <c r="D360" s="21"/>
      <c r="F360" s="197"/>
      <c r="G360" s="197"/>
      <c r="H360" s="270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3:19" ht="20.25">
      <c r="C361" s="190" t="s">
        <v>447</v>
      </c>
      <c r="F361" s="197"/>
      <c r="G361" s="197"/>
      <c r="H361" s="190">
        <f>4380876.07/2</f>
        <v>2190438.035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3:19" ht="20.25">
      <c r="C362" s="197" t="s">
        <v>446</v>
      </c>
      <c r="D362" s="197"/>
      <c r="E362" s="197"/>
      <c r="F362" s="197"/>
      <c r="G362" s="197"/>
      <c r="H362" s="273">
        <f>+H359-H361</f>
        <v>47839232.965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3:19" ht="20.25">
      <c r="C363" s="197"/>
      <c r="D363" s="197"/>
      <c r="E363" s="197"/>
      <c r="F363" s="197"/>
      <c r="G363" s="197"/>
      <c r="H363" s="19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3:19" ht="1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3:19" ht="1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3:19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3:19" ht="1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3:19" ht="1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3:19" ht="1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3:19" ht="1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3:19" ht="1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3:19" ht="1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3:19" ht="1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3:19" ht="1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3:19" ht="1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3:19" ht="1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3:19" ht="1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3:19" ht="1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3:19" ht="1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3:19" ht="1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3:19" ht="1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3:19" ht="1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3:19" ht="1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3:19" ht="1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3:19" ht="1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3:19" ht="1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3:19" ht="1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3:19" ht="1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3:19" ht="1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3:19" ht="1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3:19" ht="1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3:19" ht="1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3:19" ht="1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3:19" ht="1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3:19" ht="1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3:19" ht="1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3:19" ht="1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3:19" ht="1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3:19" ht="1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3:19" ht="1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3:19" ht="1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3:19" ht="1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3:19" ht="1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3:19" ht="1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3:19" ht="1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3:19" ht="1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3:19" ht="1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3:19" ht="1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3:19" ht="1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3:19" ht="1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3:19" ht="1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3:19" ht="1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3:19" ht="1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3:19" ht="1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3:19" ht="1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3:19" ht="1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3:19" ht="1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3:19" ht="1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3:19" ht="1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3:19" ht="1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3:19" ht="1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3:19" ht="1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3:19" ht="1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3:19" ht="1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3:19" ht="1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3:19" ht="1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3:19" ht="1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3:19" ht="1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3:19" ht="1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3:19" ht="1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3:19" ht="1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3:19" ht="1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3:19" ht="1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3:19" ht="1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3:19" ht="1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3:19" ht="1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3:19" ht="1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3:19" ht="1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3:19" ht="1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3:19" ht="1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3:19" ht="1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3:19" ht="1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3:19" ht="1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3:19" ht="1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3:19" ht="1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3:19" ht="1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3:19" ht="1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3:19" ht="1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3:19" ht="1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3:19" ht="1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3:19" ht="1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3:19" ht="1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3:19" ht="1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3:19" ht="1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3:19" ht="1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3:19" ht="1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3:19" ht="1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3:19" ht="1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3:19" ht="1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3:19" ht="1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3:19" ht="1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3:19" ht="1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4:19" ht="1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</sheetData>
  <mergeCells count="1">
    <mergeCell ref="C270:M270"/>
  </mergeCells>
  <printOptions/>
  <pageMargins left="0.8" right="0.39" top="0.75" bottom="0.5" header="0.5" footer="0.5"/>
  <pageSetup fitToHeight="6" horizontalDpi="300" verticalDpi="300" orientation="portrait" scale="50" r:id="rId1"/>
  <headerFooter alignWithMargins="0">
    <oddHeader>&amp;R&amp;"Arial MT,Bold"Exhibit WEI-4</oddHeader>
  </headerFooter>
  <rowBreaks count="5" manualBreakCount="5">
    <brk id="48" max="255" man="1"/>
    <brk id="102" max="255" man="1"/>
    <brk id="160" max="255" man="1"/>
    <brk id="243" max="255" man="1"/>
    <brk id="30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60" zoomScaleNormal="50" workbookViewId="0" topLeftCell="D2">
      <selection activeCell="J58" sqref="J58"/>
    </sheetView>
  </sheetViews>
  <sheetFormatPr defaultColWidth="8.88671875" defaultRowHeight="15"/>
  <cols>
    <col min="1" max="1" width="3.6640625" style="179" customWidth="1"/>
    <col min="2" max="2" width="7.5546875" style="179" customWidth="1"/>
    <col min="3" max="3" width="19.99609375" style="179" customWidth="1"/>
    <col min="4" max="4" width="2.10546875" style="179" customWidth="1"/>
    <col min="5" max="10" width="11.4453125" style="179" customWidth="1"/>
    <col min="11" max="11" width="12.77734375" style="179" customWidth="1"/>
    <col min="12" max="20" width="11.4453125" style="179" customWidth="1"/>
    <col min="21" max="21" width="12.77734375" style="179" bestFit="1" customWidth="1"/>
    <col min="22" max="22" width="6.99609375" style="179" customWidth="1"/>
    <col min="23" max="16384" width="8.88671875" style="179" customWidth="1"/>
  </cols>
  <sheetData>
    <row r="1" spans="1:23" ht="1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t="s">
        <v>467</v>
      </c>
      <c r="V1" s="172"/>
      <c r="W1" s="172"/>
    </row>
    <row r="2" spans="1:23" ht="15">
      <c r="A2" s="172"/>
      <c r="B2" s="172" t="s">
        <v>274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t="s">
        <v>511</v>
      </c>
      <c r="V2" s="172"/>
      <c r="W2" s="172"/>
    </row>
    <row r="3" spans="1:23" ht="1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52" t="s">
        <v>270</v>
      </c>
      <c r="V3" s="172"/>
      <c r="W3" s="172"/>
    </row>
    <row r="4" spans="1:23" ht="15">
      <c r="A4" s="172"/>
      <c r="B4" s="172" t="s">
        <v>275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51" t="s">
        <v>388</v>
      </c>
      <c r="V4" s="172"/>
      <c r="W4" s="172"/>
    </row>
    <row r="5" spans="1:23" ht="12.75">
      <c r="A5" s="172"/>
      <c r="B5" s="172"/>
      <c r="C5" s="172"/>
      <c r="D5" s="172"/>
      <c r="E5" s="172"/>
      <c r="F5" s="173" t="s">
        <v>276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2"/>
      <c r="W5" s="172"/>
    </row>
    <row r="6" spans="1:23" ht="12.75">
      <c r="A6" s="172"/>
      <c r="B6" s="172" t="s">
        <v>277</v>
      </c>
      <c r="C6" s="172"/>
      <c r="D6" s="172"/>
      <c r="E6" s="174" t="s">
        <v>278</v>
      </c>
      <c r="F6" s="174" t="s">
        <v>279</v>
      </c>
      <c r="G6" s="174" t="s">
        <v>280</v>
      </c>
      <c r="H6" s="174" t="s">
        <v>281</v>
      </c>
      <c r="I6" s="174" t="s">
        <v>282</v>
      </c>
      <c r="J6" s="174" t="s">
        <v>283</v>
      </c>
      <c r="K6" s="174" t="s">
        <v>284</v>
      </c>
      <c r="L6" s="174" t="s">
        <v>285</v>
      </c>
      <c r="M6" s="174" t="s">
        <v>286</v>
      </c>
      <c r="N6" s="174" t="s">
        <v>287</v>
      </c>
      <c r="O6" s="174" t="s">
        <v>288</v>
      </c>
      <c r="P6" s="174" t="s">
        <v>289</v>
      </c>
      <c r="Q6" s="174" t="s">
        <v>290</v>
      </c>
      <c r="R6" s="174" t="s">
        <v>291</v>
      </c>
      <c r="S6" s="174" t="s">
        <v>292</v>
      </c>
      <c r="T6" s="174" t="s">
        <v>293</v>
      </c>
      <c r="U6" s="174" t="s">
        <v>294</v>
      </c>
      <c r="V6" s="172"/>
      <c r="W6" s="172"/>
    </row>
    <row r="7" spans="1:23" ht="12.75">
      <c r="A7" s="172"/>
      <c r="B7" s="172" t="s">
        <v>295</v>
      </c>
      <c r="C7" s="172" t="s">
        <v>296</v>
      </c>
      <c r="D7" s="172"/>
      <c r="E7" s="175">
        <f>SUM(F7:U7)</f>
        <v>77539939.1</v>
      </c>
      <c r="F7" s="175">
        <f>+F27+F41</f>
        <v>2012935.6</v>
      </c>
      <c r="G7" s="175">
        <f aca="true" t="shared" si="0" ref="G7:U7">+G27+G41</f>
        <v>0</v>
      </c>
      <c r="H7" s="175">
        <f t="shared" si="0"/>
        <v>3019140</v>
      </c>
      <c r="I7" s="175">
        <f t="shared" si="0"/>
        <v>0</v>
      </c>
      <c r="J7" s="175">
        <f t="shared" si="0"/>
        <v>1085247.6</v>
      </c>
      <c r="K7" s="175">
        <f t="shared" si="0"/>
        <v>66864790.3</v>
      </c>
      <c r="L7" s="175">
        <f t="shared" si="0"/>
        <v>0</v>
      </c>
      <c r="M7" s="175">
        <f t="shared" si="0"/>
        <v>56052</v>
      </c>
      <c r="N7" s="175">
        <f t="shared" si="0"/>
        <v>15292.08</v>
      </c>
      <c r="O7" s="175">
        <f t="shared" si="0"/>
        <v>15292.08</v>
      </c>
      <c r="P7" s="175">
        <f t="shared" si="0"/>
        <v>4324316.08</v>
      </c>
      <c r="Q7" s="175">
        <f t="shared" si="0"/>
        <v>13000</v>
      </c>
      <c r="R7" s="175">
        <f t="shared" si="0"/>
        <v>16873.36</v>
      </c>
      <c r="S7" s="175">
        <f t="shared" si="0"/>
        <v>46800</v>
      </c>
      <c r="T7" s="175">
        <f t="shared" si="0"/>
        <v>62400</v>
      </c>
      <c r="U7" s="175">
        <f t="shared" si="0"/>
        <v>7800</v>
      </c>
      <c r="V7" s="175" t="s">
        <v>2</v>
      </c>
      <c r="W7" s="172"/>
    </row>
    <row r="8" spans="1:23" ht="12.75">
      <c r="A8" s="172"/>
      <c r="B8" s="172" t="s">
        <v>297</v>
      </c>
      <c r="C8" s="172" t="s">
        <v>298</v>
      </c>
      <c r="D8" s="172"/>
      <c r="E8" s="175">
        <f aca="true" t="shared" si="1" ref="E8:E16">SUM(F8:U8)</f>
        <v>4738074.05</v>
      </c>
      <c r="F8" s="175">
        <f aca="true" t="shared" si="2" ref="F8:U16">+F28+F42</f>
        <v>117173.64</v>
      </c>
      <c r="G8" s="175">
        <f t="shared" si="2"/>
        <v>0</v>
      </c>
      <c r="H8" s="175">
        <f t="shared" si="2"/>
        <v>221760</v>
      </c>
      <c r="I8" s="175">
        <f t="shared" si="2"/>
        <v>250507.41999999998</v>
      </c>
      <c r="J8" s="175">
        <f t="shared" si="2"/>
        <v>0</v>
      </c>
      <c r="K8" s="175">
        <f t="shared" si="2"/>
        <v>3965788.27</v>
      </c>
      <c r="L8" s="175">
        <f t="shared" si="2"/>
        <v>0</v>
      </c>
      <c r="M8" s="175">
        <f t="shared" si="2"/>
        <v>0</v>
      </c>
      <c r="N8" s="175">
        <f t="shared" si="2"/>
        <v>0</v>
      </c>
      <c r="O8" s="175">
        <f t="shared" si="2"/>
        <v>0</v>
      </c>
      <c r="P8" s="175">
        <f t="shared" si="2"/>
        <v>175579.25</v>
      </c>
      <c r="Q8" s="175">
        <f t="shared" si="2"/>
        <v>1076.24</v>
      </c>
      <c r="R8" s="175">
        <f t="shared" si="2"/>
        <v>414.52</v>
      </c>
      <c r="S8" s="175">
        <f t="shared" si="2"/>
        <v>3456.26</v>
      </c>
      <c r="T8" s="175">
        <f t="shared" si="2"/>
        <v>2318.45</v>
      </c>
      <c r="U8" s="175">
        <f t="shared" si="2"/>
        <v>0</v>
      </c>
      <c r="V8" s="172"/>
      <c r="W8" s="172"/>
    </row>
    <row r="9" spans="1:23" ht="12.75">
      <c r="A9" s="172"/>
      <c r="B9" s="172" t="s">
        <v>299</v>
      </c>
      <c r="C9" s="172" t="s">
        <v>300</v>
      </c>
      <c r="D9" s="172"/>
      <c r="E9" s="175">
        <f t="shared" si="1"/>
        <v>1557795.7300000002</v>
      </c>
      <c r="F9" s="175">
        <f t="shared" si="2"/>
        <v>48892.62</v>
      </c>
      <c r="G9" s="175">
        <f t="shared" si="2"/>
        <v>0</v>
      </c>
      <c r="H9" s="175">
        <f t="shared" si="2"/>
        <v>0</v>
      </c>
      <c r="I9" s="175">
        <f t="shared" si="2"/>
        <v>0</v>
      </c>
      <c r="J9" s="175">
        <f t="shared" si="2"/>
        <v>0</v>
      </c>
      <c r="K9" s="175">
        <f t="shared" si="2"/>
        <v>1487143.89</v>
      </c>
      <c r="L9" s="175">
        <f t="shared" si="2"/>
        <v>0</v>
      </c>
      <c r="M9" s="175">
        <f t="shared" si="2"/>
        <v>0</v>
      </c>
      <c r="N9" s="175">
        <f t="shared" si="2"/>
        <v>0</v>
      </c>
      <c r="O9" s="175">
        <f t="shared" si="2"/>
        <v>0</v>
      </c>
      <c r="P9" s="175">
        <f t="shared" si="2"/>
        <v>18945.6</v>
      </c>
      <c r="Q9" s="175">
        <f t="shared" si="2"/>
        <v>315.8</v>
      </c>
      <c r="R9" s="175">
        <f t="shared" si="2"/>
        <v>-154.9</v>
      </c>
      <c r="S9" s="175">
        <f t="shared" si="2"/>
        <v>1136.88</v>
      </c>
      <c r="T9" s="175">
        <f t="shared" si="2"/>
        <v>1515.84</v>
      </c>
      <c r="U9" s="175">
        <f t="shared" si="2"/>
        <v>0</v>
      </c>
      <c r="V9" s="172"/>
      <c r="W9" s="172"/>
    </row>
    <row r="10" spans="1:23" ht="12.75">
      <c r="A10" s="172"/>
      <c r="B10" s="172" t="s">
        <v>301</v>
      </c>
      <c r="C10" s="172" t="s">
        <v>302</v>
      </c>
      <c r="D10" s="172"/>
      <c r="E10" s="175">
        <f t="shared" si="1"/>
        <v>389685.18999999994</v>
      </c>
      <c r="F10" s="175">
        <f t="shared" si="2"/>
        <v>12223.18</v>
      </c>
      <c r="G10" s="175">
        <f t="shared" si="2"/>
        <v>0</v>
      </c>
      <c r="H10" s="175">
        <f t="shared" si="2"/>
        <v>0</v>
      </c>
      <c r="I10" s="175">
        <f t="shared" si="2"/>
        <v>0</v>
      </c>
      <c r="J10" s="175">
        <f t="shared" si="2"/>
        <v>0</v>
      </c>
      <c r="K10" s="175">
        <f t="shared" si="2"/>
        <v>371785.95999999996</v>
      </c>
      <c r="L10" s="175">
        <f t="shared" si="2"/>
        <v>0</v>
      </c>
      <c r="M10" s="175">
        <f t="shared" si="2"/>
        <v>0</v>
      </c>
      <c r="N10" s="175">
        <f t="shared" si="2"/>
        <v>0</v>
      </c>
      <c r="O10" s="175">
        <f t="shared" si="2"/>
        <v>0</v>
      </c>
      <c r="P10" s="175">
        <f t="shared" si="2"/>
        <v>4736.4</v>
      </c>
      <c r="Q10" s="175">
        <f t="shared" si="2"/>
        <v>78.9</v>
      </c>
      <c r="R10" s="175">
        <f t="shared" si="2"/>
        <v>-38.89</v>
      </c>
      <c r="S10" s="175">
        <f t="shared" si="2"/>
        <v>284.04</v>
      </c>
      <c r="T10" s="175">
        <f t="shared" si="2"/>
        <v>378.72</v>
      </c>
      <c r="U10" s="175">
        <f t="shared" si="2"/>
        <v>236.88</v>
      </c>
      <c r="V10" s="172"/>
      <c r="W10" s="172"/>
    </row>
    <row r="11" spans="1:23" ht="12.75">
      <c r="A11" s="172"/>
      <c r="B11" s="172" t="s">
        <v>303</v>
      </c>
      <c r="C11" s="172" t="s">
        <v>304</v>
      </c>
      <c r="D11" s="172"/>
      <c r="E11" s="175">
        <f t="shared" si="1"/>
        <v>90939.38</v>
      </c>
      <c r="F11" s="175">
        <f t="shared" si="2"/>
        <v>65188.16</v>
      </c>
      <c r="G11" s="175">
        <f t="shared" si="2"/>
        <v>0</v>
      </c>
      <c r="H11" s="175">
        <f t="shared" si="2"/>
        <v>0</v>
      </c>
      <c r="I11" s="175">
        <f t="shared" si="2"/>
        <v>0</v>
      </c>
      <c r="J11" s="175">
        <f t="shared" si="2"/>
        <v>0</v>
      </c>
      <c r="K11" s="175">
        <f t="shared" si="2"/>
        <v>0</v>
      </c>
      <c r="L11" s="175">
        <f t="shared" si="2"/>
        <v>0</v>
      </c>
      <c r="M11" s="175">
        <f t="shared" si="2"/>
        <v>0</v>
      </c>
      <c r="N11" s="175">
        <f t="shared" si="2"/>
        <v>0</v>
      </c>
      <c r="O11" s="175">
        <f t="shared" si="2"/>
        <v>0</v>
      </c>
      <c r="P11" s="175">
        <f t="shared" si="2"/>
        <v>25498.62</v>
      </c>
      <c r="Q11" s="175">
        <f t="shared" si="2"/>
        <v>0</v>
      </c>
      <c r="R11" s="175">
        <f t="shared" si="2"/>
        <v>0</v>
      </c>
      <c r="S11" s="175">
        <f t="shared" si="2"/>
        <v>0</v>
      </c>
      <c r="T11" s="175">
        <f t="shared" si="2"/>
        <v>0</v>
      </c>
      <c r="U11" s="175">
        <f t="shared" si="2"/>
        <v>252.6</v>
      </c>
      <c r="V11" s="172"/>
      <c r="W11" s="172"/>
    </row>
    <row r="12" spans="1:23" ht="12.75">
      <c r="A12" s="172"/>
      <c r="B12" s="172" t="s">
        <v>305</v>
      </c>
      <c r="C12" s="172" t="s">
        <v>306</v>
      </c>
      <c r="D12" s="172"/>
      <c r="E12" s="175">
        <f t="shared" si="1"/>
        <v>666589.95</v>
      </c>
      <c r="F12" s="175">
        <f t="shared" si="2"/>
        <v>361084.2</v>
      </c>
      <c r="G12" s="175">
        <f t="shared" si="2"/>
        <v>0</v>
      </c>
      <c r="H12" s="175">
        <f t="shared" si="2"/>
        <v>0</v>
      </c>
      <c r="I12" s="175">
        <f t="shared" si="2"/>
        <v>0</v>
      </c>
      <c r="J12" s="175">
        <f t="shared" si="2"/>
        <v>0</v>
      </c>
      <c r="K12" s="175">
        <f t="shared" si="2"/>
        <v>0</v>
      </c>
      <c r="L12" s="175">
        <f t="shared" si="2"/>
        <v>0</v>
      </c>
      <c r="M12" s="175">
        <f t="shared" si="2"/>
        <v>0</v>
      </c>
      <c r="N12" s="175">
        <f t="shared" si="2"/>
        <v>0</v>
      </c>
      <c r="O12" s="175">
        <f t="shared" si="2"/>
        <v>0</v>
      </c>
      <c r="P12" s="175">
        <f t="shared" si="2"/>
        <v>305505.75</v>
      </c>
      <c r="Q12" s="175">
        <f t="shared" si="2"/>
        <v>0</v>
      </c>
      <c r="R12" s="175">
        <f t="shared" si="2"/>
        <v>0</v>
      </c>
      <c r="S12" s="175">
        <f t="shared" si="2"/>
        <v>0</v>
      </c>
      <c r="T12" s="175">
        <f t="shared" si="2"/>
        <v>0</v>
      </c>
      <c r="U12" s="175">
        <f t="shared" si="2"/>
        <v>0</v>
      </c>
      <c r="V12" s="172"/>
      <c r="W12" s="172"/>
    </row>
    <row r="13" spans="1:23" ht="12.75">
      <c r="A13" s="172"/>
      <c r="B13" s="172" t="s">
        <v>307</v>
      </c>
      <c r="C13" s="172" t="s">
        <v>308</v>
      </c>
      <c r="D13" s="172"/>
      <c r="E13" s="175">
        <f t="shared" si="1"/>
        <v>63746.55</v>
      </c>
      <c r="F13" s="175">
        <f t="shared" si="2"/>
        <v>0</v>
      </c>
      <c r="G13" s="175">
        <f t="shared" si="2"/>
        <v>0</v>
      </c>
      <c r="H13" s="175">
        <f t="shared" si="2"/>
        <v>0</v>
      </c>
      <c r="I13" s="175">
        <f t="shared" si="2"/>
        <v>0</v>
      </c>
      <c r="J13" s="175">
        <f t="shared" si="2"/>
        <v>0</v>
      </c>
      <c r="K13" s="175">
        <f t="shared" si="2"/>
        <v>0</v>
      </c>
      <c r="L13" s="175">
        <f t="shared" si="2"/>
        <v>0</v>
      </c>
      <c r="M13" s="175">
        <f t="shared" si="2"/>
        <v>0</v>
      </c>
      <c r="N13" s="175">
        <f t="shared" si="2"/>
        <v>0</v>
      </c>
      <c r="O13" s="175">
        <f t="shared" si="2"/>
        <v>0</v>
      </c>
      <c r="P13" s="175">
        <f t="shared" si="2"/>
        <v>63746.55</v>
      </c>
      <c r="Q13" s="175">
        <f t="shared" si="2"/>
        <v>0</v>
      </c>
      <c r="R13" s="175">
        <f t="shared" si="2"/>
        <v>0</v>
      </c>
      <c r="S13" s="175">
        <f t="shared" si="2"/>
        <v>0</v>
      </c>
      <c r="T13" s="175">
        <f t="shared" si="2"/>
        <v>0</v>
      </c>
      <c r="U13" s="175">
        <f t="shared" si="2"/>
        <v>0</v>
      </c>
      <c r="V13" s="172"/>
      <c r="W13" s="172"/>
    </row>
    <row r="14" spans="1:23" ht="12.75">
      <c r="A14" s="172"/>
      <c r="B14" s="172" t="s">
        <v>309</v>
      </c>
      <c r="C14" s="172" t="s">
        <v>310</v>
      </c>
      <c r="D14" s="172"/>
      <c r="E14" s="175">
        <f t="shared" si="1"/>
        <v>253579.06</v>
      </c>
      <c r="F14" s="175">
        <f t="shared" si="2"/>
        <v>0</v>
      </c>
      <c r="G14" s="175">
        <f t="shared" si="2"/>
        <v>20900.1</v>
      </c>
      <c r="H14" s="175">
        <f t="shared" si="2"/>
        <v>154611.39</v>
      </c>
      <c r="I14" s="175">
        <f t="shared" si="2"/>
        <v>0</v>
      </c>
      <c r="J14" s="175">
        <f t="shared" si="2"/>
        <v>0</v>
      </c>
      <c r="K14" s="175">
        <f t="shared" si="2"/>
        <v>76391.89</v>
      </c>
      <c r="L14" s="175">
        <f t="shared" si="2"/>
        <v>0</v>
      </c>
      <c r="M14" s="175">
        <f t="shared" si="2"/>
        <v>0</v>
      </c>
      <c r="N14" s="175">
        <f t="shared" si="2"/>
        <v>0</v>
      </c>
      <c r="O14" s="175">
        <f t="shared" si="2"/>
        <v>0</v>
      </c>
      <c r="P14" s="175">
        <f t="shared" si="2"/>
        <v>0</v>
      </c>
      <c r="Q14" s="175">
        <f t="shared" si="2"/>
        <v>0</v>
      </c>
      <c r="R14" s="175">
        <f t="shared" si="2"/>
        <v>0</v>
      </c>
      <c r="S14" s="175">
        <f t="shared" si="2"/>
        <v>0</v>
      </c>
      <c r="T14" s="175">
        <f t="shared" si="2"/>
        <v>0</v>
      </c>
      <c r="U14" s="175">
        <f t="shared" si="2"/>
        <v>1675.68</v>
      </c>
      <c r="V14" s="172"/>
      <c r="W14" s="172"/>
    </row>
    <row r="15" spans="1:23" ht="12.75">
      <c r="A15" s="172"/>
      <c r="B15" s="172" t="s">
        <v>311</v>
      </c>
      <c r="C15" s="172" t="s">
        <v>312</v>
      </c>
      <c r="D15" s="172"/>
      <c r="E15" s="175">
        <f t="shared" si="1"/>
        <v>26843</v>
      </c>
      <c r="F15" s="175">
        <f t="shared" si="2"/>
        <v>0</v>
      </c>
      <c r="G15" s="175">
        <f t="shared" si="2"/>
        <v>0</v>
      </c>
      <c r="H15" s="175">
        <f t="shared" si="2"/>
        <v>0</v>
      </c>
      <c r="I15" s="175">
        <f t="shared" si="2"/>
        <v>0</v>
      </c>
      <c r="J15" s="175">
        <f t="shared" si="2"/>
        <v>0</v>
      </c>
      <c r="K15" s="175">
        <f t="shared" si="2"/>
        <v>0</v>
      </c>
      <c r="L15" s="175">
        <f t="shared" si="2"/>
        <v>26843</v>
      </c>
      <c r="M15" s="175">
        <f t="shared" si="2"/>
        <v>0</v>
      </c>
      <c r="N15" s="175">
        <f t="shared" si="2"/>
        <v>0</v>
      </c>
      <c r="O15" s="175">
        <f t="shared" si="2"/>
        <v>0</v>
      </c>
      <c r="P15" s="175">
        <f t="shared" si="2"/>
        <v>0</v>
      </c>
      <c r="Q15" s="175">
        <f t="shared" si="2"/>
        <v>0</v>
      </c>
      <c r="R15" s="175">
        <f t="shared" si="2"/>
        <v>0</v>
      </c>
      <c r="S15" s="175">
        <f t="shared" si="2"/>
        <v>0</v>
      </c>
      <c r="T15" s="175">
        <f t="shared" si="2"/>
        <v>0</v>
      </c>
      <c r="U15" s="175">
        <f t="shared" si="2"/>
        <v>0</v>
      </c>
      <c r="V15" s="172"/>
      <c r="W15" s="172"/>
    </row>
    <row r="16" spans="1:23" ht="12.75">
      <c r="A16" s="172"/>
      <c r="B16" s="172" t="s">
        <v>313</v>
      </c>
      <c r="C16" s="172" t="s">
        <v>314</v>
      </c>
      <c r="D16" s="172"/>
      <c r="E16" s="176">
        <f t="shared" si="1"/>
        <v>5048411.63</v>
      </c>
      <c r="F16" s="177">
        <f>+F36+F50</f>
        <v>0</v>
      </c>
      <c r="G16" s="177">
        <f t="shared" si="2"/>
        <v>0</v>
      </c>
      <c r="H16" s="177">
        <f t="shared" si="2"/>
        <v>221760</v>
      </c>
      <c r="I16" s="177">
        <f t="shared" si="2"/>
        <v>0</v>
      </c>
      <c r="J16" s="177">
        <f t="shared" si="2"/>
        <v>0</v>
      </c>
      <c r="K16" s="177">
        <f t="shared" si="2"/>
        <v>4826651.63</v>
      </c>
      <c r="L16" s="177">
        <f t="shared" si="2"/>
        <v>0</v>
      </c>
      <c r="M16" s="177">
        <f t="shared" si="2"/>
        <v>0</v>
      </c>
      <c r="N16" s="177">
        <f t="shared" si="2"/>
        <v>0</v>
      </c>
      <c r="O16" s="177">
        <f t="shared" si="2"/>
        <v>0</v>
      </c>
      <c r="P16" s="177">
        <f t="shared" si="2"/>
        <v>0</v>
      </c>
      <c r="Q16" s="177">
        <f t="shared" si="2"/>
        <v>0</v>
      </c>
      <c r="R16" s="177">
        <f t="shared" si="2"/>
        <v>0</v>
      </c>
      <c r="S16" s="177">
        <f t="shared" si="2"/>
        <v>0</v>
      </c>
      <c r="T16" s="177">
        <f t="shared" si="2"/>
        <v>0</v>
      </c>
      <c r="U16" s="177">
        <f t="shared" si="2"/>
        <v>0</v>
      </c>
      <c r="V16" s="172"/>
      <c r="W16" s="172"/>
    </row>
    <row r="17" spans="1:23" ht="12.75">
      <c r="A17" s="172"/>
      <c r="B17" s="172" t="s">
        <v>9</v>
      </c>
      <c r="C17" s="172"/>
      <c r="D17" s="172"/>
      <c r="E17" s="175">
        <f>SUM(E7:E16)</f>
        <v>90375603.63999999</v>
      </c>
      <c r="F17" s="175">
        <v>2617497.4</v>
      </c>
      <c r="G17" s="175">
        <v>20900.1</v>
      </c>
      <c r="H17" s="175">
        <v>3617271.39</v>
      </c>
      <c r="I17" s="175">
        <v>250507.42</v>
      </c>
      <c r="J17" s="175">
        <v>1085247.6</v>
      </c>
      <c r="K17" s="175">
        <v>77592551.94</v>
      </c>
      <c r="L17" s="175">
        <v>26843</v>
      </c>
      <c r="M17" s="175">
        <v>56052</v>
      </c>
      <c r="N17" s="175">
        <v>15292.08</v>
      </c>
      <c r="O17" s="175">
        <v>15292.08</v>
      </c>
      <c r="P17" s="175">
        <v>4918328.25</v>
      </c>
      <c r="Q17" s="175">
        <v>14470.94</v>
      </c>
      <c r="R17" s="175">
        <v>17094.09</v>
      </c>
      <c r="S17" s="175">
        <v>51677.18</v>
      </c>
      <c r="T17" s="175">
        <v>66613.01</v>
      </c>
      <c r="U17" s="175">
        <v>9965.16</v>
      </c>
      <c r="V17" s="172"/>
      <c r="W17" s="172"/>
    </row>
    <row r="18" spans="1:23" ht="12.75">
      <c r="A18" s="172"/>
      <c r="B18" s="172" t="s">
        <v>315</v>
      </c>
      <c r="C18" s="172"/>
      <c r="D18" s="172"/>
      <c r="E18" s="175">
        <f>SUM(F18:U18)</f>
        <v>12835664.540000001</v>
      </c>
      <c r="F18" s="175">
        <f aca="true" t="shared" si="3" ref="F18:U18">SUM(F8:F16)</f>
        <v>604561.8</v>
      </c>
      <c r="G18" s="175">
        <f t="shared" si="3"/>
        <v>20900.1</v>
      </c>
      <c r="H18" s="175">
        <f t="shared" si="3"/>
        <v>598131.39</v>
      </c>
      <c r="I18" s="175">
        <f t="shared" si="3"/>
        <v>250507.41999999998</v>
      </c>
      <c r="J18" s="175">
        <f t="shared" si="3"/>
        <v>0</v>
      </c>
      <c r="K18" s="175">
        <f t="shared" si="3"/>
        <v>10727761.64</v>
      </c>
      <c r="L18" s="175">
        <f t="shared" si="3"/>
        <v>26843</v>
      </c>
      <c r="M18" s="175">
        <f t="shared" si="3"/>
        <v>0</v>
      </c>
      <c r="N18" s="175">
        <f t="shared" si="3"/>
        <v>0</v>
      </c>
      <c r="O18" s="175">
        <f t="shared" si="3"/>
        <v>0</v>
      </c>
      <c r="P18" s="175">
        <f t="shared" si="3"/>
        <v>594012.17</v>
      </c>
      <c r="Q18" s="175">
        <f t="shared" si="3"/>
        <v>1470.94</v>
      </c>
      <c r="R18" s="175">
        <f t="shared" si="3"/>
        <v>220.73000000000002</v>
      </c>
      <c r="S18" s="175">
        <f t="shared" si="3"/>
        <v>4877.18</v>
      </c>
      <c r="T18" s="175">
        <f t="shared" si="3"/>
        <v>4213.01</v>
      </c>
      <c r="U18" s="175">
        <f t="shared" si="3"/>
        <v>2165.16</v>
      </c>
      <c r="V18" s="172"/>
      <c r="W18" s="172"/>
    </row>
    <row r="19" spans="1:23" ht="12.75">
      <c r="A19" s="172"/>
      <c r="B19" s="172" t="s">
        <v>316</v>
      </c>
      <c r="C19" s="172"/>
      <c r="D19" s="172"/>
      <c r="E19" s="177">
        <f>SUM(F19:U19)</f>
        <v>10675148.799999999</v>
      </c>
      <c r="F19" s="177">
        <f>+F7</f>
        <v>2012935.6</v>
      </c>
      <c r="G19" s="177">
        <f aca="true" t="shared" si="4" ref="G19:U19">+G7</f>
        <v>0</v>
      </c>
      <c r="H19" s="177">
        <f t="shared" si="4"/>
        <v>3019140</v>
      </c>
      <c r="I19" s="177">
        <f t="shared" si="4"/>
        <v>0</v>
      </c>
      <c r="J19" s="177">
        <f t="shared" si="4"/>
        <v>1085247.6</v>
      </c>
      <c r="K19" s="177">
        <v>0</v>
      </c>
      <c r="L19" s="177">
        <f t="shared" si="4"/>
        <v>0</v>
      </c>
      <c r="M19" s="177">
        <f t="shared" si="4"/>
        <v>56052</v>
      </c>
      <c r="N19" s="177">
        <f t="shared" si="4"/>
        <v>15292.08</v>
      </c>
      <c r="O19" s="177">
        <f t="shared" si="4"/>
        <v>15292.08</v>
      </c>
      <c r="P19" s="177">
        <f t="shared" si="4"/>
        <v>4324316.08</v>
      </c>
      <c r="Q19" s="177">
        <f t="shared" si="4"/>
        <v>13000</v>
      </c>
      <c r="R19" s="177">
        <f t="shared" si="4"/>
        <v>16873.36</v>
      </c>
      <c r="S19" s="177">
        <f t="shared" si="4"/>
        <v>46800</v>
      </c>
      <c r="T19" s="177">
        <f t="shared" si="4"/>
        <v>62400</v>
      </c>
      <c r="U19" s="177">
        <f t="shared" si="4"/>
        <v>7800</v>
      </c>
      <c r="V19" s="172"/>
      <c r="W19" s="172"/>
    </row>
    <row r="20" spans="1:23" ht="12.75">
      <c r="A20" s="172"/>
      <c r="B20" s="172" t="s">
        <v>317</v>
      </c>
      <c r="C20" s="172"/>
      <c r="D20" s="172"/>
      <c r="E20" s="175">
        <f>+E17-E18-E19</f>
        <v>66864790.29999998</v>
      </c>
      <c r="F20" s="175">
        <f>+F17-F18-F19</f>
        <v>0</v>
      </c>
      <c r="G20" s="175">
        <f aca="true" t="shared" si="5" ref="G20:U20">+G17-G18-G19</f>
        <v>0</v>
      </c>
      <c r="H20" s="175">
        <f t="shared" si="5"/>
        <v>0</v>
      </c>
      <c r="I20" s="175">
        <f t="shared" si="5"/>
        <v>2.9103830456733704E-11</v>
      </c>
      <c r="J20" s="175">
        <f t="shared" si="5"/>
        <v>0</v>
      </c>
      <c r="K20" s="175">
        <f t="shared" si="5"/>
        <v>66864790.3</v>
      </c>
      <c r="L20" s="175">
        <f t="shared" si="5"/>
        <v>0</v>
      </c>
      <c r="M20" s="175">
        <f t="shared" si="5"/>
        <v>0</v>
      </c>
      <c r="N20" s="175">
        <f t="shared" si="5"/>
        <v>0</v>
      </c>
      <c r="O20" s="175">
        <f t="shared" si="5"/>
        <v>0</v>
      </c>
      <c r="P20" s="175">
        <f t="shared" si="5"/>
        <v>0</v>
      </c>
      <c r="Q20" s="175">
        <f t="shared" si="5"/>
        <v>0</v>
      </c>
      <c r="R20" s="175">
        <f t="shared" si="5"/>
        <v>0</v>
      </c>
      <c r="S20" s="175">
        <f t="shared" si="5"/>
        <v>0</v>
      </c>
      <c r="T20" s="175">
        <f t="shared" si="5"/>
        <v>0</v>
      </c>
      <c r="U20" s="175">
        <f t="shared" si="5"/>
        <v>0</v>
      </c>
      <c r="V20" s="172"/>
      <c r="W20" s="172"/>
    </row>
    <row r="21" spans="1:23" ht="12.7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</row>
    <row r="22" spans="1:23" ht="12.75">
      <c r="A22" s="172"/>
      <c r="B22" s="172" t="s">
        <v>318</v>
      </c>
      <c r="C22" s="172"/>
      <c r="D22" s="172"/>
      <c r="E22" s="178">
        <f>SUM(F22:U22)</f>
        <v>691.2500000000001</v>
      </c>
      <c r="F22" s="178">
        <f>+(128*5+131*7)/12</f>
        <v>129.75</v>
      </c>
      <c r="G22" s="178">
        <v>0</v>
      </c>
      <c r="H22" s="178">
        <f>61+125</f>
        <v>186</v>
      </c>
      <c r="I22" s="178">
        <v>0</v>
      </c>
      <c r="J22" s="178">
        <f>42+18</f>
        <v>60</v>
      </c>
      <c r="K22" s="178">
        <v>0</v>
      </c>
      <c r="L22" s="178">
        <v>0</v>
      </c>
      <c r="M22" s="178">
        <v>3</v>
      </c>
      <c r="N22" s="178">
        <v>1</v>
      </c>
      <c r="O22" s="178">
        <v>1</v>
      </c>
      <c r="P22" s="178">
        <f>+(295*5+303*7)/12</f>
        <v>299.6666666666667</v>
      </c>
      <c r="Q22" s="178">
        <f>5*2/12</f>
        <v>0.8333333333333334</v>
      </c>
      <c r="R22" s="178">
        <v>2</v>
      </c>
      <c r="S22" s="178">
        <v>3</v>
      </c>
      <c r="T22" s="178">
        <v>4</v>
      </c>
      <c r="U22" s="178">
        <v>1</v>
      </c>
      <c r="V22" s="172"/>
      <c r="W22" s="172"/>
    </row>
    <row r="23" spans="1:23" ht="12.7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</row>
    <row r="24" spans="1:23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</row>
    <row r="25" spans="1:23" ht="12.75">
      <c r="A25" s="172"/>
      <c r="B25" s="172"/>
      <c r="C25" s="172"/>
      <c r="D25" s="172"/>
      <c r="E25" s="172"/>
      <c r="F25" s="173" t="s">
        <v>276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2"/>
      <c r="W25" s="172"/>
    </row>
    <row r="26" spans="1:23" ht="12.75">
      <c r="A26" s="172"/>
      <c r="B26" s="172" t="s">
        <v>319</v>
      </c>
      <c r="C26" s="172"/>
      <c r="D26" s="172"/>
      <c r="E26" s="174" t="s">
        <v>278</v>
      </c>
      <c r="F26" s="174" t="s">
        <v>279</v>
      </c>
      <c r="G26" s="174" t="s">
        <v>280</v>
      </c>
      <c r="H26" s="174" t="s">
        <v>281</v>
      </c>
      <c r="I26" s="174" t="s">
        <v>282</v>
      </c>
      <c r="J26" s="174" t="s">
        <v>283</v>
      </c>
      <c r="K26" s="174" t="s">
        <v>284</v>
      </c>
      <c r="L26" s="174" t="s">
        <v>285</v>
      </c>
      <c r="M26" s="174" t="s">
        <v>286</v>
      </c>
      <c r="N26" s="174" t="s">
        <v>287</v>
      </c>
      <c r="O26" s="174" t="s">
        <v>288</v>
      </c>
      <c r="P26" s="174" t="s">
        <v>289</v>
      </c>
      <c r="Q26" s="174" t="s">
        <v>290</v>
      </c>
      <c r="R26" s="174" t="s">
        <v>291</v>
      </c>
      <c r="S26" s="174" t="s">
        <v>292</v>
      </c>
      <c r="T26" s="174" t="s">
        <v>293</v>
      </c>
      <c r="U26" s="174" t="s">
        <v>294</v>
      </c>
      <c r="V26" s="172"/>
      <c r="W26" s="172"/>
    </row>
    <row r="27" spans="1:23" ht="12.75">
      <c r="A27" s="172"/>
      <c r="B27" s="172" t="s">
        <v>295</v>
      </c>
      <c r="C27" s="172" t="s">
        <v>296</v>
      </c>
      <c r="D27" s="172"/>
      <c r="E27" s="175">
        <v>40768703.39</v>
      </c>
      <c r="F27" s="175">
        <v>2012935.6</v>
      </c>
      <c r="G27" s="175">
        <v>0</v>
      </c>
      <c r="H27" s="175">
        <v>2514570</v>
      </c>
      <c r="I27" s="175">
        <v>0</v>
      </c>
      <c r="J27" s="175">
        <v>542623.8</v>
      </c>
      <c r="K27" s="175">
        <v>33432395.1</v>
      </c>
      <c r="L27" s="175">
        <v>0</v>
      </c>
      <c r="M27" s="175">
        <v>0</v>
      </c>
      <c r="N27" s="175">
        <v>15292.08</v>
      </c>
      <c r="O27" s="175">
        <v>15292.08</v>
      </c>
      <c r="P27" s="175">
        <v>2162158.04</v>
      </c>
      <c r="Q27" s="175">
        <v>6500</v>
      </c>
      <c r="R27" s="175">
        <v>8436.69</v>
      </c>
      <c r="S27" s="175">
        <v>23400</v>
      </c>
      <c r="T27" s="175">
        <v>31200</v>
      </c>
      <c r="U27" s="175">
        <v>3900</v>
      </c>
      <c r="V27" s="172"/>
      <c r="W27" s="172"/>
    </row>
    <row r="28" spans="1:23" ht="12.75">
      <c r="A28" s="172"/>
      <c r="B28" s="172" t="s">
        <v>297</v>
      </c>
      <c r="C28" s="172" t="s">
        <v>298</v>
      </c>
      <c r="D28" s="172"/>
      <c r="E28" s="175">
        <v>2538503.78</v>
      </c>
      <c r="F28" s="175">
        <v>117173.64</v>
      </c>
      <c r="G28" s="175">
        <v>0</v>
      </c>
      <c r="H28" s="175">
        <v>221760</v>
      </c>
      <c r="I28" s="175">
        <v>125253.74</v>
      </c>
      <c r="J28" s="175">
        <v>0</v>
      </c>
      <c r="K28" s="175">
        <v>1982894.11</v>
      </c>
      <c r="L28" s="175">
        <v>0</v>
      </c>
      <c r="M28" s="175">
        <v>0</v>
      </c>
      <c r="N28" s="175">
        <v>0</v>
      </c>
      <c r="O28" s="175">
        <v>0</v>
      </c>
      <c r="P28" s="175">
        <v>87789.65</v>
      </c>
      <c r="Q28" s="175">
        <v>538.1</v>
      </c>
      <c r="R28" s="175">
        <v>207.25</v>
      </c>
      <c r="S28" s="175">
        <v>1728.1</v>
      </c>
      <c r="T28" s="175">
        <v>1159.19</v>
      </c>
      <c r="U28" s="175">
        <v>0</v>
      </c>
      <c r="V28" s="172"/>
      <c r="W28" s="172"/>
    </row>
    <row r="29" spans="1:23" ht="12.75">
      <c r="A29" s="172"/>
      <c r="B29" s="172" t="s">
        <v>299</v>
      </c>
      <c r="C29" s="172" t="s">
        <v>300</v>
      </c>
      <c r="D29" s="172"/>
      <c r="E29" s="175">
        <v>803344.18</v>
      </c>
      <c r="F29" s="175">
        <v>48892.62</v>
      </c>
      <c r="G29" s="175">
        <v>0</v>
      </c>
      <c r="H29" s="175">
        <v>0</v>
      </c>
      <c r="I29" s="175">
        <v>0</v>
      </c>
      <c r="J29" s="175">
        <v>0</v>
      </c>
      <c r="K29" s="175">
        <v>743571.95</v>
      </c>
      <c r="L29" s="175">
        <v>0</v>
      </c>
      <c r="M29" s="175">
        <v>0</v>
      </c>
      <c r="N29" s="175">
        <v>0</v>
      </c>
      <c r="O29" s="175">
        <v>0</v>
      </c>
      <c r="P29" s="175">
        <v>9472.8</v>
      </c>
      <c r="Q29" s="175">
        <v>157.9</v>
      </c>
      <c r="R29" s="175">
        <v>-77.45</v>
      </c>
      <c r="S29" s="175">
        <v>568.44</v>
      </c>
      <c r="T29" s="175">
        <v>757.92</v>
      </c>
      <c r="U29" s="175">
        <v>0</v>
      </c>
      <c r="V29" s="172"/>
      <c r="W29" s="172"/>
    </row>
    <row r="30" spans="1:23" ht="12.75">
      <c r="A30" s="172"/>
      <c r="B30" s="172" t="s">
        <v>301</v>
      </c>
      <c r="C30" s="172" t="s">
        <v>302</v>
      </c>
      <c r="D30" s="172"/>
      <c r="E30" s="175">
        <v>200954.12</v>
      </c>
      <c r="F30" s="175">
        <v>12223.18</v>
      </c>
      <c r="G30" s="175">
        <v>0</v>
      </c>
      <c r="H30" s="175">
        <v>0</v>
      </c>
      <c r="I30" s="175">
        <v>0</v>
      </c>
      <c r="J30" s="175">
        <v>0</v>
      </c>
      <c r="K30" s="175">
        <v>185892.97</v>
      </c>
      <c r="L30" s="175">
        <v>0</v>
      </c>
      <c r="M30" s="175">
        <v>0</v>
      </c>
      <c r="N30" s="175">
        <v>0</v>
      </c>
      <c r="O30" s="175">
        <v>0</v>
      </c>
      <c r="P30" s="175">
        <v>2368.2</v>
      </c>
      <c r="Q30" s="175">
        <v>39.45</v>
      </c>
      <c r="R30" s="175">
        <v>-19.44</v>
      </c>
      <c r="S30" s="175">
        <v>141.96</v>
      </c>
      <c r="T30" s="175">
        <v>189.36</v>
      </c>
      <c r="U30" s="175">
        <v>118.44</v>
      </c>
      <c r="V30" s="172"/>
      <c r="W30" s="172"/>
    </row>
    <row r="31" spans="1:23" ht="12.75">
      <c r="A31" s="172"/>
      <c r="B31" s="172" t="s">
        <v>303</v>
      </c>
      <c r="C31" s="172" t="s">
        <v>304</v>
      </c>
      <c r="D31" s="172"/>
      <c r="E31" s="175">
        <v>78063.71</v>
      </c>
      <c r="F31" s="175">
        <v>65188.16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12749.31</v>
      </c>
      <c r="Q31" s="175">
        <v>0</v>
      </c>
      <c r="R31" s="175">
        <v>0</v>
      </c>
      <c r="S31" s="175">
        <v>0</v>
      </c>
      <c r="T31" s="175">
        <v>0</v>
      </c>
      <c r="U31" s="175">
        <v>126.24</v>
      </c>
      <c r="V31" s="172"/>
      <c r="W31" s="172"/>
    </row>
    <row r="32" spans="1:23" ht="12.75">
      <c r="A32" s="172"/>
      <c r="B32" s="172" t="s">
        <v>305</v>
      </c>
      <c r="C32" s="172" t="s">
        <v>306</v>
      </c>
      <c r="D32" s="172"/>
      <c r="E32" s="175">
        <v>513837.16</v>
      </c>
      <c r="F32" s="175">
        <v>361084.2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152752.96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2"/>
      <c r="W32" s="172"/>
    </row>
    <row r="33" spans="1:23" ht="12.75">
      <c r="A33" s="172"/>
      <c r="B33" s="172" t="s">
        <v>307</v>
      </c>
      <c r="C33" s="172" t="s">
        <v>308</v>
      </c>
      <c r="D33" s="172"/>
      <c r="E33" s="175">
        <v>31873.32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31873.32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2"/>
      <c r="W33" s="172"/>
    </row>
    <row r="34" spans="1:23" ht="12.75">
      <c r="A34" s="172"/>
      <c r="B34" s="172" t="s">
        <v>309</v>
      </c>
      <c r="C34" s="172" t="s">
        <v>310</v>
      </c>
      <c r="D34" s="172"/>
      <c r="E34" s="175">
        <v>252741.22</v>
      </c>
      <c r="F34" s="175">
        <v>0</v>
      </c>
      <c r="G34" s="175">
        <v>20900.1</v>
      </c>
      <c r="H34" s="175">
        <v>154611.39</v>
      </c>
      <c r="I34" s="175">
        <v>0</v>
      </c>
      <c r="J34" s="175">
        <v>0</v>
      </c>
      <c r="K34" s="175">
        <v>76391.89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837.84</v>
      </c>
      <c r="V34" s="172"/>
      <c r="W34" s="172"/>
    </row>
    <row r="35" spans="1:23" ht="12.75">
      <c r="A35" s="172"/>
      <c r="B35" s="172" t="s">
        <v>311</v>
      </c>
      <c r="C35" s="172" t="s">
        <v>312</v>
      </c>
      <c r="D35" s="172"/>
      <c r="E35" s="175">
        <v>13421.5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13421.5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  <c r="U35" s="175">
        <v>0</v>
      </c>
      <c r="V35" s="172"/>
      <c r="W35" s="172"/>
    </row>
    <row r="36" spans="1:23" ht="12.75">
      <c r="A36" s="172"/>
      <c r="B36" s="172" t="s">
        <v>313</v>
      </c>
      <c r="C36" s="172" t="s">
        <v>314</v>
      </c>
      <c r="D36" s="172"/>
      <c r="E36" s="177">
        <v>2635085.78</v>
      </c>
      <c r="F36" s="177">
        <v>0</v>
      </c>
      <c r="G36" s="177">
        <v>0</v>
      </c>
      <c r="H36" s="177">
        <v>221760</v>
      </c>
      <c r="I36" s="177">
        <v>0</v>
      </c>
      <c r="J36" s="177">
        <v>0</v>
      </c>
      <c r="K36" s="177">
        <v>2413325.78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2"/>
      <c r="W36" s="172"/>
    </row>
    <row r="37" spans="1:23" ht="12.75">
      <c r="A37" s="172"/>
      <c r="B37" s="172" t="s">
        <v>9</v>
      </c>
      <c r="C37" s="172"/>
      <c r="D37" s="172"/>
      <c r="E37" s="175">
        <v>47836528.160000004</v>
      </c>
      <c r="F37" s="175">
        <v>2617497.4</v>
      </c>
      <c r="G37" s="175">
        <v>20900.1</v>
      </c>
      <c r="H37" s="175">
        <v>3112701.39</v>
      </c>
      <c r="I37" s="175">
        <v>125253.74</v>
      </c>
      <c r="J37" s="175">
        <v>542623.8</v>
      </c>
      <c r="K37" s="175">
        <v>38834471.800000004</v>
      </c>
      <c r="L37" s="175">
        <v>13421.5</v>
      </c>
      <c r="M37" s="175">
        <v>0</v>
      </c>
      <c r="N37" s="175">
        <v>15292.08</v>
      </c>
      <c r="O37" s="175">
        <v>15292.08</v>
      </c>
      <c r="P37" s="175">
        <v>2459164.28</v>
      </c>
      <c r="Q37" s="175">
        <v>7235.45</v>
      </c>
      <c r="R37" s="175">
        <v>8547.05</v>
      </c>
      <c r="S37" s="175">
        <v>25838.5</v>
      </c>
      <c r="T37" s="175">
        <v>33306.47</v>
      </c>
      <c r="U37" s="175">
        <v>4982.52</v>
      </c>
      <c r="V37" s="172"/>
      <c r="W37" s="172"/>
    </row>
    <row r="38" spans="1:23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</row>
    <row r="39" spans="1:23" ht="12.75">
      <c r="A39" s="172"/>
      <c r="B39" s="172"/>
      <c r="C39" s="172"/>
      <c r="D39" s="172"/>
      <c r="E39" s="172"/>
      <c r="F39" s="173" t="s">
        <v>276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2"/>
      <c r="W39" s="172"/>
    </row>
    <row r="40" spans="1:23" ht="12.75">
      <c r="A40" s="172"/>
      <c r="B40" s="172" t="s">
        <v>320</v>
      </c>
      <c r="C40" s="172"/>
      <c r="D40" s="172"/>
      <c r="E40" s="174" t="s">
        <v>278</v>
      </c>
      <c r="F40" s="174" t="s">
        <v>279</v>
      </c>
      <c r="G40" s="174" t="s">
        <v>280</v>
      </c>
      <c r="H40" s="174" t="s">
        <v>281</v>
      </c>
      <c r="I40" s="174" t="s">
        <v>282</v>
      </c>
      <c r="J40" s="174" t="s">
        <v>283</v>
      </c>
      <c r="K40" s="174" t="s">
        <v>284</v>
      </c>
      <c r="L40" s="174" t="s">
        <v>285</v>
      </c>
      <c r="M40" s="174" t="s">
        <v>286</v>
      </c>
      <c r="N40" s="174" t="s">
        <v>287</v>
      </c>
      <c r="O40" s="174" t="s">
        <v>288</v>
      </c>
      <c r="P40" s="174" t="s">
        <v>289</v>
      </c>
      <c r="Q40" s="174" t="s">
        <v>290</v>
      </c>
      <c r="R40" s="174" t="s">
        <v>291</v>
      </c>
      <c r="S40" s="174" t="s">
        <v>292</v>
      </c>
      <c r="T40" s="174" t="s">
        <v>293</v>
      </c>
      <c r="U40" s="174" t="s">
        <v>294</v>
      </c>
      <c r="V40" s="172"/>
      <c r="W40" s="172"/>
    </row>
    <row r="41" spans="1:23" ht="12.75">
      <c r="A41" s="172"/>
      <c r="B41" s="172" t="s">
        <v>295</v>
      </c>
      <c r="C41" s="172" t="s">
        <v>296</v>
      </c>
      <c r="D41" s="172"/>
      <c r="E41" s="175">
        <v>36771235.71</v>
      </c>
      <c r="F41" s="175">
        <v>0</v>
      </c>
      <c r="G41" s="175">
        <v>0</v>
      </c>
      <c r="H41" s="175">
        <v>504570</v>
      </c>
      <c r="I41" s="175">
        <v>0</v>
      </c>
      <c r="J41" s="175">
        <v>542623.8</v>
      </c>
      <c r="K41" s="175">
        <v>33432395.2</v>
      </c>
      <c r="L41" s="175">
        <v>0</v>
      </c>
      <c r="M41" s="175">
        <v>56052</v>
      </c>
      <c r="N41" s="175">
        <v>0</v>
      </c>
      <c r="O41" s="175">
        <v>0</v>
      </c>
      <c r="P41" s="175">
        <v>2162158.04</v>
      </c>
      <c r="Q41" s="175">
        <v>6500</v>
      </c>
      <c r="R41" s="175">
        <v>8436.67</v>
      </c>
      <c r="S41" s="175">
        <v>23400</v>
      </c>
      <c r="T41" s="175">
        <v>31200</v>
      </c>
      <c r="U41" s="175">
        <v>3900</v>
      </c>
      <c r="V41" s="172"/>
      <c r="W41" s="172"/>
    </row>
    <row r="42" spans="1:23" ht="12.75">
      <c r="A42" s="172"/>
      <c r="B42" s="172" t="s">
        <v>297</v>
      </c>
      <c r="C42" s="172" t="s">
        <v>298</v>
      </c>
      <c r="D42" s="172"/>
      <c r="E42" s="175">
        <v>2199570.27</v>
      </c>
      <c r="F42" s="175">
        <v>0</v>
      </c>
      <c r="G42" s="175">
        <v>0</v>
      </c>
      <c r="H42" s="175">
        <v>0</v>
      </c>
      <c r="I42" s="175">
        <v>125253.68</v>
      </c>
      <c r="J42" s="175">
        <v>0</v>
      </c>
      <c r="K42" s="175">
        <v>1982894.16</v>
      </c>
      <c r="L42" s="175">
        <v>0</v>
      </c>
      <c r="M42" s="175">
        <v>0</v>
      </c>
      <c r="N42" s="175">
        <v>0</v>
      </c>
      <c r="O42" s="175">
        <v>0</v>
      </c>
      <c r="P42" s="175">
        <v>87789.6</v>
      </c>
      <c r="Q42" s="175">
        <v>538.14</v>
      </c>
      <c r="R42" s="175">
        <v>207.27</v>
      </c>
      <c r="S42" s="175">
        <v>1728.16</v>
      </c>
      <c r="T42" s="175">
        <v>1159.26</v>
      </c>
      <c r="U42" s="175">
        <v>0</v>
      </c>
      <c r="V42" s="172"/>
      <c r="W42" s="172"/>
    </row>
    <row r="43" spans="1:23" ht="12.75">
      <c r="A43" s="172"/>
      <c r="B43" s="172" t="s">
        <v>299</v>
      </c>
      <c r="C43" s="172" t="s">
        <v>300</v>
      </c>
      <c r="D43" s="172"/>
      <c r="E43" s="175">
        <v>754451.55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743571.94</v>
      </c>
      <c r="L43" s="175">
        <v>0</v>
      </c>
      <c r="M43" s="175">
        <v>0</v>
      </c>
      <c r="N43" s="175">
        <v>0</v>
      </c>
      <c r="O43" s="175">
        <v>0</v>
      </c>
      <c r="P43" s="175">
        <v>9472.8</v>
      </c>
      <c r="Q43" s="175">
        <v>157.9</v>
      </c>
      <c r="R43" s="175">
        <v>-77.45</v>
      </c>
      <c r="S43" s="175">
        <v>568.44</v>
      </c>
      <c r="T43" s="175">
        <v>757.92</v>
      </c>
      <c r="U43" s="175">
        <v>0</v>
      </c>
      <c r="V43" s="172"/>
      <c r="W43" s="172"/>
    </row>
    <row r="44" spans="1:23" ht="12.75">
      <c r="A44" s="172"/>
      <c r="B44" s="172" t="s">
        <v>301</v>
      </c>
      <c r="C44" s="172" t="s">
        <v>302</v>
      </c>
      <c r="D44" s="172"/>
      <c r="E44" s="175">
        <v>188731.07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185892.99</v>
      </c>
      <c r="L44" s="175">
        <v>0</v>
      </c>
      <c r="M44" s="175">
        <v>0</v>
      </c>
      <c r="N44" s="175">
        <v>0</v>
      </c>
      <c r="O44" s="175">
        <v>0</v>
      </c>
      <c r="P44" s="175">
        <v>2368.2</v>
      </c>
      <c r="Q44" s="175">
        <v>39.45</v>
      </c>
      <c r="R44" s="175">
        <v>-19.45</v>
      </c>
      <c r="S44" s="175">
        <v>142.08</v>
      </c>
      <c r="T44" s="175">
        <v>189.36</v>
      </c>
      <c r="U44" s="175">
        <v>118.44</v>
      </c>
      <c r="V44" s="172"/>
      <c r="W44" s="172"/>
    </row>
    <row r="45" spans="1:23" ht="12.75">
      <c r="A45" s="172"/>
      <c r="B45" s="172" t="s">
        <v>303</v>
      </c>
      <c r="C45" s="172" t="s">
        <v>304</v>
      </c>
      <c r="D45" s="172"/>
      <c r="E45" s="175">
        <v>12875.67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12749.31</v>
      </c>
      <c r="Q45" s="175">
        <v>0</v>
      </c>
      <c r="R45" s="175">
        <v>0</v>
      </c>
      <c r="S45" s="175">
        <v>0</v>
      </c>
      <c r="T45" s="175">
        <v>0</v>
      </c>
      <c r="U45" s="175">
        <v>126.36</v>
      </c>
      <c r="V45" s="172"/>
      <c r="W45" s="172"/>
    </row>
    <row r="46" spans="1:23" ht="12.75">
      <c r="A46" s="172"/>
      <c r="B46" s="172" t="s">
        <v>305</v>
      </c>
      <c r="C46" s="172" t="s">
        <v>306</v>
      </c>
      <c r="D46" s="172"/>
      <c r="E46" s="175">
        <v>152752.79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152752.79</v>
      </c>
      <c r="Q46" s="175">
        <v>0</v>
      </c>
      <c r="R46" s="175">
        <v>0</v>
      </c>
      <c r="S46" s="175">
        <v>0</v>
      </c>
      <c r="T46" s="175">
        <v>0</v>
      </c>
      <c r="U46" s="175">
        <v>0</v>
      </c>
      <c r="V46" s="172"/>
      <c r="W46" s="172"/>
    </row>
    <row r="47" spans="1:23" ht="12.75">
      <c r="A47" s="172"/>
      <c r="B47" s="172" t="s">
        <v>307</v>
      </c>
      <c r="C47" s="172" t="s">
        <v>308</v>
      </c>
      <c r="D47" s="172"/>
      <c r="E47" s="175">
        <v>31873.23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31873.23</v>
      </c>
      <c r="Q47" s="175">
        <v>0</v>
      </c>
      <c r="R47" s="175">
        <v>0</v>
      </c>
      <c r="S47" s="175">
        <v>0</v>
      </c>
      <c r="T47" s="175">
        <v>0</v>
      </c>
      <c r="U47" s="175">
        <v>0</v>
      </c>
      <c r="V47" s="172"/>
      <c r="W47" s="172"/>
    </row>
    <row r="48" spans="1:23" ht="12.75">
      <c r="A48" s="172"/>
      <c r="B48" s="172" t="s">
        <v>309</v>
      </c>
      <c r="C48" s="172" t="s">
        <v>310</v>
      </c>
      <c r="D48" s="172"/>
      <c r="E48" s="175">
        <v>837.84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0</v>
      </c>
      <c r="U48" s="175">
        <v>837.84</v>
      </c>
      <c r="V48" s="172"/>
      <c r="W48" s="172"/>
    </row>
    <row r="49" spans="1:23" ht="12.75">
      <c r="A49" s="172"/>
      <c r="B49" s="172" t="s">
        <v>311</v>
      </c>
      <c r="C49" s="172" t="s">
        <v>312</v>
      </c>
      <c r="D49" s="172"/>
      <c r="E49" s="175">
        <v>13421.5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13421.5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v>0</v>
      </c>
      <c r="U49" s="175">
        <v>0</v>
      </c>
      <c r="V49" s="172"/>
      <c r="W49" s="172"/>
    </row>
    <row r="50" spans="1:23" ht="12.75">
      <c r="A50" s="172"/>
      <c r="B50" s="172" t="s">
        <v>313</v>
      </c>
      <c r="C50" s="172" t="s">
        <v>314</v>
      </c>
      <c r="D50" s="172"/>
      <c r="E50" s="177">
        <v>2413325.85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2413325.85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2"/>
      <c r="W50" s="172"/>
    </row>
    <row r="51" spans="1:23" ht="12.75">
      <c r="A51" s="172"/>
      <c r="B51" s="172" t="s">
        <v>9</v>
      </c>
      <c r="C51" s="172"/>
      <c r="D51" s="172"/>
      <c r="E51" s="175">
        <v>42539075.480000004</v>
      </c>
      <c r="F51" s="175">
        <v>0</v>
      </c>
      <c r="G51" s="175">
        <v>0</v>
      </c>
      <c r="H51" s="175">
        <v>504570</v>
      </c>
      <c r="I51" s="175">
        <v>125253.68</v>
      </c>
      <c r="J51" s="175">
        <v>542623.8</v>
      </c>
      <c r="K51" s="175">
        <v>38758080.14</v>
      </c>
      <c r="L51" s="175">
        <v>13421.5</v>
      </c>
      <c r="M51" s="175">
        <v>56052</v>
      </c>
      <c r="N51" s="175">
        <v>0</v>
      </c>
      <c r="O51" s="175">
        <v>0</v>
      </c>
      <c r="P51" s="175">
        <v>2459163.97</v>
      </c>
      <c r="Q51" s="175">
        <v>7235.49</v>
      </c>
      <c r="R51" s="175">
        <v>8547.04</v>
      </c>
      <c r="S51" s="175">
        <v>25838.68</v>
      </c>
      <c r="T51" s="175">
        <v>33306.54</v>
      </c>
      <c r="U51" s="175">
        <v>4982.64</v>
      </c>
      <c r="V51" s="172"/>
      <c r="W51" s="172"/>
    </row>
    <row r="52" spans="1:23" ht="12.7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</row>
    <row r="53" spans="1:23" ht="12.7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</row>
    <row r="54" spans="1:23" ht="12.7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</row>
    <row r="55" spans="1:23" ht="12.7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</row>
    <row r="56" spans="1:23" ht="12.7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</row>
    <row r="57" spans="1:23" ht="12.7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</row>
    <row r="58" spans="1:23" ht="12.7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</row>
  </sheetData>
  <printOptions horizontalCentered="1"/>
  <pageMargins left="0" right="0.5" top="0.75" bottom="0.5" header="0.5" footer="0.5"/>
  <pageSetup horizontalDpi="600" verticalDpi="600" orientation="landscape" scale="45" r:id="rId1"/>
  <headerFooter alignWithMargins="0">
    <oddHeader>&amp;R&amp;"Arial MT,Bold"Exhibit WEI-4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Westar Energy</cp:lastModifiedBy>
  <cp:lastPrinted>2005-05-03T20:40:53Z</cp:lastPrinted>
  <dcterms:created xsi:type="dcterms:W3CDTF">1997-04-03T19:40:56Z</dcterms:created>
  <dcterms:modified xsi:type="dcterms:W3CDTF">2005-05-03T20:41:01Z</dcterms:modified>
  <cp:category/>
  <cp:version/>
  <cp:contentType/>
  <cp:contentStatus/>
</cp:coreProperties>
</file>