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8885" windowHeight="12540" tabRatio="946" activeTab="7"/>
  </bookViews>
  <sheets>
    <sheet name="Allocation Summary" sheetId="1" r:id="rId1"/>
    <sheet name="Projects Summary" sheetId="2" r:id="rId2"/>
    <sheet name="100% Zonal E&amp;C (ATRR)" sheetId="3" r:id="rId3"/>
    <sheet name="100% Zonal" sheetId="4" r:id="rId4"/>
    <sheet name="No MW-mi Allocations" sheetId="5" r:id="rId5"/>
    <sheet name="MW-mi Allocations" sheetId="6" r:id="rId6"/>
    <sheet name="MW-mi Impacts" sheetId="7" r:id="rId7"/>
    <sheet name="2007 Q1 Project List" sheetId="8" r:id="rId8"/>
    <sheet name="2006 Apprv Base Plan List" sheetId="9" r:id="rId9"/>
    <sheet name="Resident Loads" sheetId="10" r:id="rId10"/>
    <sheet name="FCRs" sheetId="11" r:id="rId11"/>
  </sheets>
  <externalReferences>
    <externalReference r:id="rId14"/>
  </externalReferences>
  <definedNames>
    <definedName name="_xlnm._FilterDatabase" localSheetId="8" hidden="1">'2006 Apprv Base Plan List'!$A$4:$HA$43</definedName>
    <definedName name="_xlnm._FilterDatabase" localSheetId="7" hidden="1">'2007 Q1 Project List'!$A$5:$GZ$58</definedName>
    <definedName name="Carry">'FCRs'!$A$2:$K$17</definedName>
    <definedName name="Just">#REF!</definedName>
    <definedName name="LookupRange">'[1]ORIGNAL List'!$A$2:$I$444</definedName>
  </definedNames>
  <calcPr fullCalcOnLoad="1"/>
</workbook>
</file>

<file path=xl/comments10.xml><?xml version="1.0" encoding="utf-8"?>
<comments xmlns="http://schemas.openxmlformats.org/spreadsheetml/2006/main">
  <authors>
    <author>rds0500</author>
  </authors>
  <commentList>
    <comment ref="B5" authorId="0">
      <text>
        <r>
          <rPr>
            <b/>
            <sz val="8"/>
            <rFont val="Tahoma"/>
            <family val="0"/>
          </rPr>
          <t>rds0500:</t>
        </r>
        <r>
          <rPr>
            <sz val="8"/>
            <rFont val="Tahoma"/>
            <family val="0"/>
          </rPr>
          <t xml:space="preserve">
information source is Pennybaker analysis of transmission system demands.</t>
        </r>
      </text>
    </comment>
    <comment ref="B6" authorId="0">
      <text>
        <r>
          <rPr>
            <b/>
            <sz val="8"/>
            <rFont val="Tahoma"/>
            <family val="0"/>
          </rPr>
          <t>rds0500:</t>
        </r>
        <r>
          <rPr>
            <sz val="8"/>
            <rFont val="Tahoma"/>
            <family val="0"/>
          </rPr>
          <t xml:space="preserve">
As reported by AEP</t>
        </r>
      </text>
    </comment>
    <comment ref="B7" authorId="0">
      <text>
        <r>
          <rPr>
            <b/>
            <sz val="8"/>
            <rFont val="Tahoma"/>
            <family val="0"/>
          </rPr>
          <t>rds0500:</t>
        </r>
        <r>
          <rPr>
            <sz val="8"/>
            <rFont val="Tahoma"/>
            <family val="0"/>
          </rPr>
          <t xml:space="preserve">
As reported by AEP</t>
        </r>
      </text>
    </comment>
    <comment ref="B8" authorId="0">
      <text>
        <r>
          <rPr>
            <b/>
            <sz val="8"/>
            <rFont val="Tahoma"/>
            <family val="0"/>
          </rPr>
          <t>rds0500:</t>
        </r>
        <r>
          <rPr>
            <sz val="8"/>
            <rFont val="Tahoma"/>
            <family val="0"/>
          </rPr>
          <t xml:space="preserve">
As reported by AEP</t>
        </r>
      </text>
    </comment>
    <comment ref="B9" authorId="0">
      <text>
        <r>
          <rPr>
            <b/>
            <sz val="8"/>
            <rFont val="Tahoma"/>
            <family val="0"/>
          </rPr>
          <t>rds0500:</t>
        </r>
        <r>
          <rPr>
            <sz val="8"/>
            <rFont val="Tahoma"/>
            <family val="0"/>
          </rPr>
          <t xml:space="preserve">
Used AEP Version.   Slightly different numbers reported by OMPA.  OMPA note indicated possible revision would be necessary</t>
        </r>
      </text>
    </comment>
    <comment ref="B10" authorId="0">
      <text>
        <r>
          <rPr>
            <b/>
            <sz val="8"/>
            <rFont val="Tahoma"/>
            <family val="0"/>
          </rPr>
          <t>rds0500:</t>
        </r>
        <r>
          <rPr>
            <sz val="8"/>
            <rFont val="Tahoma"/>
            <family val="0"/>
          </rPr>
          <t xml:space="preserve">
Includes Green belt and Lignthouse - Served from Texas North facilities in SPP</t>
        </r>
      </text>
    </comment>
    <comment ref="B13" authorId="0">
      <text>
        <r>
          <rPr>
            <b/>
            <sz val="8"/>
            <rFont val="Tahoma"/>
            <family val="0"/>
          </rPr>
          <t>rds0500:</t>
        </r>
        <r>
          <rPr>
            <sz val="8"/>
            <rFont val="Tahoma"/>
            <family val="0"/>
          </rPr>
          <t xml:space="preserve">
Includes St. Joe</t>
        </r>
      </text>
    </comment>
    <comment ref="B17" authorId="0">
      <text>
        <r>
          <rPr>
            <b/>
            <sz val="8"/>
            <rFont val="Tahoma"/>
            <family val="0"/>
          </rPr>
          <t>rds0500:</t>
        </r>
        <r>
          <rPr>
            <sz val="8"/>
            <rFont val="Tahoma"/>
            <family val="0"/>
          </rPr>
          <t xml:space="preserve">
Agrees with  SPP NITS Billing.
</t>
        </r>
      </text>
    </comment>
    <comment ref="B18" authorId="0">
      <text>
        <r>
          <rPr>
            <b/>
            <sz val="8"/>
            <rFont val="Tahoma"/>
            <family val="0"/>
          </rPr>
          <t>rds0500:</t>
        </r>
        <r>
          <rPr>
            <sz val="8"/>
            <rFont val="Tahoma"/>
            <family val="0"/>
          </rPr>
          <t xml:space="preserve">
Per SPP NITS Billings</t>
        </r>
      </text>
    </comment>
    <comment ref="B21" authorId="0">
      <text>
        <r>
          <rPr>
            <b/>
            <sz val="8"/>
            <rFont val="Tahoma"/>
            <family val="0"/>
          </rPr>
          <t>rds0500:</t>
        </r>
        <r>
          <rPr>
            <sz val="8"/>
            <rFont val="Tahoma"/>
            <family val="0"/>
          </rPr>
          <t xml:space="preserve">
GRDA reported numbers exclude Lindsey, Broken Bow and KAMO
Ties to SPP NITS Billing</t>
        </r>
      </text>
    </comment>
    <comment ref="B23" authorId="0">
      <text>
        <r>
          <rPr>
            <b/>
            <sz val="8"/>
            <rFont val="Tahoma"/>
            <family val="0"/>
          </rPr>
          <t>rds0500:</t>
        </r>
        <r>
          <rPr>
            <sz val="8"/>
            <rFont val="Tahoma"/>
            <family val="0"/>
          </rPr>
          <t xml:space="preserve">
No SPP NITS in KCPL</t>
        </r>
      </text>
    </comment>
    <comment ref="B25" authorId="0">
      <text>
        <r>
          <rPr>
            <b/>
            <sz val="8"/>
            <rFont val="Tahoma"/>
            <family val="0"/>
          </rPr>
          <t xml:space="preserve">rds0500:
</t>
        </r>
        <r>
          <rPr>
            <sz val="8"/>
            <rFont val="Tahoma"/>
            <family val="2"/>
          </rPr>
          <t>Agrees with MIDW EIA-411.  Off slightly from loads reported by Westar Energy</t>
        </r>
      </text>
    </comment>
    <comment ref="B26" authorId="0">
      <text>
        <r>
          <rPr>
            <b/>
            <sz val="8"/>
            <rFont val="Tahoma"/>
            <family val="0"/>
          </rPr>
          <t xml:space="preserve">rds0500:
</t>
        </r>
        <r>
          <rPr>
            <sz val="8"/>
            <rFont val="Tahoma"/>
            <family val="2"/>
          </rPr>
          <t>From SPP NITS Billing</t>
        </r>
      </text>
    </comment>
    <comment ref="B29" authorId="0">
      <text>
        <r>
          <rPr>
            <b/>
            <sz val="8"/>
            <rFont val="Tahoma"/>
            <family val="0"/>
          </rPr>
          <t>rds0500:</t>
        </r>
        <r>
          <rPr>
            <sz val="8"/>
            <rFont val="Tahoma"/>
            <family val="0"/>
          </rPr>
          <t xml:space="preserve">
Ties to Kays' analysis of transmission system load.</t>
        </r>
      </text>
    </comment>
    <comment ref="B34" authorId="0">
      <text>
        <r>
          <rPr>
            <b/>
            <sz val="8"/>
            <rFont val="Tahoma"/>
            <family val="0"/>
          </rPr>
          <t>rds0500:</t>
        </r>
        <r>
          <rPr>
            <sz val="8"/>
            <rFont val="Tahoma"/>
            <family val="0"/>
          </rPr>
          <t xml:space="preserve">
Use Assessment loads</t>
        </r>
      </text>
    </comment>
    <comment ref="B36" authorId="0">
      <text>
        <r>
          <rPr>
            <b/>
            <sz val="8"/>
            <rFont val="Tahoma"/>
            <family val="0"/>
          </rPr>
          <t>rds0500:</t>
        </r>
        <r>
          <rPr>
            <sz val="8"/>
            <rFont val="Tahoma"/>
            <family val="0"/>
          </rPr>
          <t xml:space="preserve">
Includes all SPS load per Bob Cochrane 6-23-06.</t>
        </r>
      </text>
    </comment>
    <comment ref="B40" authorId="0">
      <text>
        <r>
          <rPr>
            <b/>
            <sz val="8"/>
            <rFont val="Tahoma"/>
            <family val="0"/>
          </rPr>
          <t>rds0500:</t>
        </r>
        <r>
          <rPr>
            <sz val="8"/>
            <rFont val="Tahoma"/>
            <family val="0"/>
          </rPr>
          <t xml:space="preserve">
Reported by OMPA</t>
        </r>
      </text>
    </comment>
    <comment ref="B41" authorId="0">
      <text>
        <r>
          <rPr>
            <b/>
            <sz val="8"/>
            <rFont val="Tahoma"/>
            <family val="0"/>
          </rPr>
          <t>rds0500:</t>
        </r>
        <r>
          <rPr>
            <sz val="8"/>
            <rFont val="Tahoma"/>
            <family val="0"/>
          </rPr>
          <t xml:space="preserve">
Reported by WFEC, Check to see that it excludes Broken Bow and Lindsey</t>
        </r>
      </text>
    </comment>
    <comment ref="B42" authorId="0">
      <text>
        <r>
          <rPr>
            <b/>
            <sz val="8"/>
            <rFont val="Tahoma"/>
            <family val="0"/>
          </rPr>
          <t>rds0500:</t>
        </r>
        <r>
          <rPr>
            <sz val="8"/>
            <rFont val="Tahoma"/>
            <family val="0"/>
          </rPr>
          <t xml:space="preserve">
Reported by GRDA</t>
        </r>
      </text>
    </comment>
  </commentList>
</comments>
</file>

<file path=xl/comments11.xml><?xml version="1.0" encoding="utf-8"?>
<comments xmlns="http://schemas.openxmlformats.org/spreadsheetml/2006/main">
  <authors>
    <author>jbr0903</author>
  </authors>
  <commentList>
    <comment ref="B2" authorId="0">
      <text>
        <r>
          <rPr>
            <b/>
            <sz val="8"/>
            <rFont val="Tahoma"/>
            <family val="0"/>
          </rPr>
          <t>jbr0903:</t>
        </r>
        <r>
          <rPr>
            <sz val="8"/>
            <rFont val="Tahoma"/>
            <family val="0"/>
          </rPr>
          <t xml:space="preserve">
Updated based on 2004 Form 1 data on 4/5/06</t>
        </r>
      </text>
    </comment>
    <comment ref="B4" authorId="0">
      <text>
        <r>
          <rPr>
            <b/>
            <sz val="8"/>
            <rFont val="Tahoma"/>
            <family val="0"/>
          </rPr>
          <t>jbr0903:</t>
        </r>
        <r>
          <rPr>
            <sz val="8"/>
            <rFont val="Tahoma"/>
            <family val="0"/>
          </rPr>
          <t xml:space="preserve">
updated 4/27/06. EDE ROE is what was filed not approved.</t>
        </r>
      </text>
    </comment>
    <comment ref="B6" authorId="0">
      <text>
        <r>
          <rPr>
            <b/>
            <sz val="8"/>
            <rFont val="Tahoma"/>
            <family val="0"/>
          </rPr>
          <t>jbr0903:</t>
        </r>
        <r>
          <rPr>
            <sz val="8"/>
            <rFont val="Tahoma"/>
            <family val="0"/>
          </rPr>
          <t xml:space="preserve">
Updated 6/9/06</t>
        </r>
      </text>
    </comment>
    <comment ref="B7" authorId="0">
      <text>
        <r>
          <rPr>
            <b/>
            <sz val="8"/>
            <rFont val="Tahoma"/>
            <family val="0"/>
          </rPr>
          <t>jbr0903:</t>
        </r>
        <r>
          <rPr>
            <sz val="8"/>
            <rFont val="Tahoma"/>
            <family val="0"/>
          </rPr>
          <t xml:space="preserve">
Updated on 4/13/06</t>
        </r>
      </text>
    </comment>
    <comment ref="B8" authorId="0">
      <text>
        <r>
          <rPr>
            <b/>
            <sz val="8"/>
            <rFont val="Tahoma"/>
            <family val="0"/>
          </rPr>
          <t>jbr0903:</t>
        </r>
        <r>
          <rPr>
            <sz val="8"/>
            <rFont val="Tahoma"/>
            <family val="0"/>
          </rPr>
          <t xml:space="preserve">
updated 7/18/05</t>
        </r>
      </text>
    </comment>
    <comment ref="B9" authorId="0">
      <text>
        <r>
          <rPr>
            <b/>
            <sz val="8"/>
            <rFont val="Tahoma"/>
            <family val="0"/>
          </rPr>
          <t>jbr0903:</t>
        </r>
        <r>
          <rPr>
            <sz val="8"/>
            <rFont val="Tahoma"/>
            <family val="0"/>
          </rPr>
          <t xml:space="preserve">
Updated 4/26/06</t>
        </r>
      </text>
    </comment>
    <comment ref="B11" authorId="0">
      <text>
        <r>
          <rPr>
            <b/>
            <sz val="8"/>
            <rFont val="Tahoma"/>
            <family val="0"/>
          </rPr>
          <t>jbr0903:</t>
        </r>
        <r>
          <rPr>
            <sz val="8"/>
            <rFont val="Tahoma"/>
            <family val="0"/>
          </rPr>
          <t xml:space="preserve">
Revised 5/15/06</t>
        </r>
      </text>
    </comment>
    <comment ref="B13" authorId="0">
      <text>
        <r>
          <rPr>
            <b/>
            <sz val="8"/>
            <rFont val="Tahoma"/>
            <family val="0"/>
          </rPr>
          <t>jbr0903:</t>
        </r>
        <r>
          <rPr>
            <sz val="8"/>
            <rFont val="Tahoma"/>
            <family val="0"/>
          </rPr>
          <t xml:space="preserve">
Updated 4/6/06</t>
        </r>
      </text>
    </comment>
    <comment ref="B14" authorId="0">
      <text>
        <r>
          <rPr>
            <b/>
            <sz val="8"/>
            <rFont val="Tahoma"/>
            <family val="0"/>
          </rPr>
          <t>jbr0903:</t>
        </r>
        <r>
          <rPr>
            <sz val="8"/>
            <rFont val="Tahoma"/>
            <family val="0"/>
          </rPr>
          <t xml:space="preserve">
updated 7/18/05</t>
        </r>
      </text>
    </comment>
    <comment ref="B15" authorId="0">
      <text>
        <r>
          <rPr>
            <b/>
            <sz val="8"/>
            <rFont val="Tahoma"/>
            <family val="0"/>
          </rPr>
          <t>jbr0903:</t>
        </r>
        <r>
          <rPr>
            <sz val="8"/>
            <rFont val="Tahoma"/>
            <family val="0"/>
          </rPr>
          <t xml:space="preserve">
updated 7/18/05</t>
        </r>
      </text>
    </comment>
    <comment ref="B17" authorId="0">
      <text>
        <r>
          <rPr>
            <b/>
            <sz val="8"/>
            <rFont val="Tahoma"/>
            <family val="0"/>
          </rPr>
          <t>jbr0903:</t>
        </r>
        <r>
          <rPr>
            <sz val="8"/>
            <rFont val="Tahoma"/>
            <family val="0"/>
          </rPr>
          <t xml:space="preserve">
Updated 5/1/2006</t>
        </r>
      </text>
    </comment>
  </commentList>
</comments>
</file>

<file path=xl/comments9.xml><?xml version="1.0" encoding="utf-8"?>
<comments xmlns="http://schemas.openxmlformats.org/spreadsheetml/2006/main">
  <authors>
    <author>ccc1103</author>
  </authors>
  <commentList>
    <comment ref="B19" authorId="0">
      <text>
        <r>
          <rPr>
            <b/>
            <sz val="8"/>
            <rFont val="Tahoma"/>
            <family val="0"/>
          </rPr>
          <t>ccc1103:</t>
        </r>
        <r>
          <rPr>
            <sz val="8"/>
            <rFont val="Tahoma"/>
            <family val="0"/>
          </rPr>
          <t xml:space="preserve">
Under 100k, direct assign
</t>
        </r>
      </text>
    </comment>
  </commentList>
</comments>
</file>

<file path=xl/sharedStrings.xml><?xml version="1.0" encoding="utf-8"?>
<sst xmlns="http://schemas.openxmlformats.org/spreadsheetml/2006/main" count="2516" uniqueCount="453">
  <si>
    <t>Net of Positive</t>
  </si>
  <si>
    <t>ZONE</t>
  </si>
  <si>
    <t>MWMI Impact</t>
  </si>
  <si>
    <t>% allocation</t>
  </si>
  <si>
    <t>% 100k Min</t>
  </si>
  <si>
    <t>CLECO</t>
  </si>
  <si>
    <t>SWPA</t>
  </si>
  <si>
    <t>AEP</t>
  </si>
  <si>
    <t>GRDA</t>
  </si>
  <si>
    <t>OKGE</t>
  </si>
  <si>
    <t>WFEC</t>
  </si>
  <si>
    <t>SPS</t>
  </si>
  <si>
    <t>MIDW</t>
  </si>
  <si>
    <t>SUNF</t>
  </si>
  <si>
    <t>WESTAR</t>
  </si>
  <si>
    <t>WEPL</t>
  </si>
  <si>
    <t>MIPU</t>
  </si>
  <si>
    <t>KACP</t>
  </si>
  <si>
    <t>EMDE</t>
  </si>
  <si>
    <t>SPRM</t>
  </si>
  <si>
    <t>TOTAL</t>
  </si>
  <si>
    <t>Butler Xfer</t>
  </si>
  <si>
    <t>McDowell Conversion and Xfer</t>
  </si>
  <si>
    <t>NE Enid - Glenwood</t>
  </si>
  <si>
    <t>Razorback - Short Mountain</t>
  </si>
  <si>
    <t>Richards Tap - Richards</t>
  </si>
  <si>
    <t>Crosby Co Int Xfer</t>
  </si>
  <si>
    <t>Curry Co Int Xfer</t>
  </si>
  <si>
    <t>% base allocation</t>
  </si>
  <si>
    <t>ReinMiller - Tipton Ford</t>
  </si>
  <si>
    <t>Richards - Piedmont</t>
  </si>
  <si>
    <t>Siloam Springs - Chamber Springs</t>
  </si>
  <si>
    <t>Stilwell City Xfer</t>
  </si>
  <si>
    <t>Etowah - Tribbey</t>
  </si>
  <si>
    <t>Hutchinson 115 kV Voltage Conv</t>
  </si>
  <si>
    <t>Riverdale - Ozarks</t>
  </si>
  <si>
    <t>Sayre - Moorewood - Voltage Conv</t>
  </si>
  <si>
    <t>Fayetteville 69 kV Conv</t>
  </si>
  <si>
    <t>2007, First Quarter:  Potential Base Plan Upgrades</t>
  </si>
  <si>
    <t>Project Completed</t>
  </si>
  <si>
    <t>Engineering Completed</t>
  </si>
  <si>
    <t>Obtained ROW</t>
  </si>
  <si>
    <t>In Construction</t>
  </si>
  <si>
    <t>Done Energized</t>
  </si>
  <si>
    <t>The following are transmission reliability improvements that meet criteria for designation as Base Plan Upgrades</t>
  </si>
  <si>
    <t>in accordance with the proposed Base Plan Guidelines Task Force report and the SPP Open Access Transmission Tariff.</t>
  </si>
  <si>
    <t>Potential Base Plan Upgrade identified in the SPP RTO Transmission Expansion Planning Process</t>
  </si>
  <si>
    <t>Mw-mi</t>
  </si>
  <si>
    <t>Area</t>
  </si>
  <si>
    <t>Project Name</t>
  </si>
  <si>
    <t>In-Service Date</t>
  </si>
  <si>
    <t>2006 Expansion Plan Date</t>
  </si>
  <si>
    <t>Cost Estimate</t>
  </si>
  <si>
    <t>Base Plan Reason</t>
  </si>
  <si>
    <t>Project Description/Comments</t>
  </si>
  <si>
    <t>Project Justification</t>
  </si>
  <si>
    <t>-</t>
  </si>
  <si>
    <t>AEPW</t>
  </si>
  <si>
    <t>Line - Lone Star South - Pittsburg 138 kV</t>
  </si>
  <si>
    <t>Identified  in the 2004_2005 SPP Expansion Plan as needed in 6/1/2006 TPL002</t>
  </si>
  <si>
    <t>Replace CT</t>
  </si>
  <si>
    <t>Lone Star South-Pittsburg 138 kV over load for an outage of Petty-Chapel Hill Rec 138</t>
  </si>
  <si>
    <t>Y</t>
  </si>
  <si>
    <t>N</t>
  </si>
  <si>
    <t>Line - Elk City - Elk City 69 kV</t>
  </si>
  <si>
    <t>06/1/07 *</t>
  </si>
  <si>
    <t>Identified in the 2006 SPP Expansion Plan as needed in 6/1/2007 TPL002</t>
  </si>
  <si>
    <t>Replace CTS &amp; jumpers. Limits on AEP end will be 600A switches and Breaker</t>
  </si>
  <si>
    <t>To address overloads @ Elk City 69 - Elk City for the MOREWOOD - MORWOOD 69 kv outage</t>
  </si>
  <si>
    <t>Line - Porter Hill - Elgin Junction</t>
  </si>
  <si>
    <t>Replace Switches &amp; reset CT @ Elgin Jct. Replace switches @ Porter Hill.  $200,000 12 month lead time</t>
  </si>
  <si>
    <t xml:space="preserve">To address overload @Porter Hill - Elgin Junction  1 for Lawton Eastside - Lawton Gore North outage </t>
  </si>
  <si>
    <t>Device - Broken Arrow Water</t>
  </si>
  <si>
    <t>Identified  in the 2006 SPP Expansion Plan as needed in 6/1/2007 TPL002</t>
  </si>
  <si>
    <t>Install 6 MVA Cap at  Broken Arrow water 6 MVAR</t>
  </si>
  <si>
    <t>To address low voltages @Broken Arrow Water &amp; Coweta for an outage of Tulsa SE transformer</t>
  </si>
  <si>
    <t>Device - Hobart</t>
  </si>
  <si>
    <t>Install 4.8 MVAR cap at Hobart 54128</t>
  </si>
  <si>
    <t xml:space="preserve">To address low voltage @Hobart for the Hobart - Hobart Junction 69kV outage </t>
  </si>
  <si>
    <t>Line - Northwest Texarkana  - Alumax Tap</t>
  </si>
  <si>
    <t>Rebuild 2 miles of 1590 ACAR with 2156 ACSR, Replace wavetrap &amp; jumpers with 2156 ACSR. Replace Switch 2285 @ Alumax Tap.</t>
  </si>
  <si>
    <t>To addres overload @Northwest Texarkana  - Alumax Tap 1 for SPP-AEPW-29 outage</t>
  </si>
  <si>
    <t>Line - Bann - Kings Highway 69 kV</t>
  </si>
  <si>
    <t>Identified  in the 2004_2005 SPP Expansion Plan as needed in 6/1/2008 TPL002</t>
  </si>
  <si>
    <t>Replace Switch in King Hwy substation</t>
  </si>
  <si>
    <t>Bann-Kings Highway 69 kV for loads for outage Bann-SE Texarkana 138 kV line</t>
  </si>
  <si>
    <t>Multi - Fayetteville 69 kV conversion</t>
  </si>
  <si>
    <t>Identified in the 2006 SPP Expansion Plan as needed in 6/1/2008 TPL002</t>
  </si>
  <si>
    <t>Convert 69 KV line to 161 kV</t>
  </si>
  <si>
    <t>Dyess-S Springdale 161kv overloads conductor for outage of Chamber Springs-Farmington 161 kV</t>
  </si>
  <si>
    <t>Multi - Riverdale - Ozarks 161 kV Ckt 1</t>
  </si>
  <si>
    <t>Identified in the2006  SPP Expansion Plan as needed in 6/1/2010  TPL002</t>
  </si>
  <si>
    <t>Build 161 kV line from AECI's Riverdale substation to a new substation at Ozark.  Install a 100 MVA 161/69 Auto-xfmr in the Ozark substation.  Split the 69 kV line from Forsyth to Ozark #434 at this new substation.</t>
  </si>
  <si>
    <t>Low voltage at the Ozark #330 substation during the outage of Blackhawk #415 to Ozark #330.  Also, under normal conditions EDE exceeds their contract limit on the Blackhawk to Jamevilles interconnection with AECI.</t>
  </si>
  <si>
    <t>Line - Sub 167 - Riverton - Sub 406 - Riverton S</t>
  </si>
  <si>
    <t>06/1/08 *</t>
  </si>
  <si>
    <t>Identified in the2006  SPP Expansion Plan as needed in 6/1/2008  TPL002</t>
  </si>
  <si>
    <t>Change Relay Settings and change jumpers on switch at Riverton Sub #406</t>
  </si>
  <si>
    <t>To address overload @SUB 167 - RIVERTON - SUB 406 - RIVERTON SOUTH 1 for outage of HOCKERVILLE 161/69 Xfr</t>
  </si>
  <si>
    <t>Line - Brown Explorer Tap 138kV</t>
  </si>
  <si>
    <t>TO Study - NERC TPL-002</t>
  </si>
  <si>
    <t>Upgrade CT's at Brown Substation</t>
  </si>
  <si>
    <t>The 2010 Summer Peak Contingency Analysis indicates that the loss of the  Bus # 55120 RUSSET 138kV to  Bus # 55147 GLASSES4 138 line causes and overload on the Bus # 52802 S BROWN 138kV to  55157 BROWN 138kV section.  To mitigate an (N-1) condition as determined by SPP Planning standards and NERC TPL-002-0.  OGE operations also seen very low voltage during summer 2005 due to the WFEC Hugo plant trip off.</t>
  </si>
  <si>
    <t>Line - NE Enid - Glenwood 138 kV</t>
  </si>
  <si>
    <t>Project to meet OG&amp;E Operating Practice S3-5</t>
  </si>
  <si>
    <t>Part of a long term project per K Study 5140.3 to enhance the transmission system in Enid, OK.  This is the last phase of the project.</t>
  </si>
  <si>
    <t>Project to meet OG&amp;E Operating Practice S3-5, which is part of OG&amp;E Planning Criteria, which qualifies this project for Regional Cost Allocation and inclusion in the Plant.  [Due to OGE K5140.3 study in 2001 that identified violations of OGE S3-5 operatin</t>
  </si>
  <si>
    <t>Line - Razorback - Short Mountain 69 kV</t>
  </si>
  <si>
    <t>Project to meet OGE's operating guides S3-5.</t>
  </si>
  <si>
    <t>New 69(161)kV transmission line from Razorback to Short Mountain</t>
  </si>
  <si>
    <t>As a result of OGE internal K study 10086 for future conversion.  Supporting Study has been submitted to SPP in the past. Project was initiated to close the radial transmission lines at Short Mountain and Razorback Substation per OGE's operating guides S3</t>
  </si>
  <si>
    <t>Line - Etowah - Tribbey 69 kV</t>
  </si>
  <si>
    <t>Close NO switch of Etowah-Tribbey by rebuilding Etowah and installing 69kV breakers. NOTE:  Overloads Midwest - Franklin so it must take place after the Midwest - Franklin project is complete</t>
  </si>
  <si>
    <t>Low voltage around Spring Hill, Little Axe, Etowah, Macomoc for OKGEMTL-24.  Violates NERC TPL-002-0 and SPP Criteria 3.4.</t>
  </si>
  <si>
    <t>SWPS</t>
  </si>
  <si>
    <t xml:space="preserve">XFR - Carlsbad Int 115 kV - Carlsbad Int 69 kV </t>
  </si>
  <si>
    <t>Upgrade 115/69 kV transformer.</t>
  </si>
  <si>
    <t>To address overload @Carlsbad 115/69 kV transformer 1 &amp; 2 for outage</t>
  </si>
  <si>
    <t xml:space="preserve">XFR - Crosby Co Int 69 kV - Crosby Co Int 115 kV </t>
  </si>
  <si>
    <t>Add third transformer from spare stock</t>
  </si>
  <si>
    <t>To address overload @Crosby 115/69 kV transformer 1 &amp; 2 for outage of the other Crosby transformer</t>
  </si>
  <si>
    <t xml:space="preserve">XFR - Curry Co Int 69 kV - Curry Co Int 115 kV </t>
  </si>
  <si>
    <t>To address overload @Curry 115/69 kV transformer 1&amp;2 for outage</t>
  </si>
  <si>
    <t xml:space="preserve">XFR - Gaines Co Int 69 kV - Gaines Co Int 115 kV </t>
  </si>
  <si>
    <t>Replace both gaines transformers with 84 MVA xf</t>
  </si>
  <si>
    <t>To address overload @Northwest - Gaines 115/69 kV transformer 1 &amp; 2 for outage of one of Graines XF overloads the other</t>
  </si>
  <si>
    <t>Device - San Andress Sub</t>
  </si>
  <si>
    <t>Install 1 - 14.4 Mvar cap bank on the 115 kV bus at San Andress</t>
  </si>
  <si>
    <t>Voltage below critera at San Andress bus for outage os San Andress toDenver City Interchange S</t>
  </si>
  <si>
    <t>XFR - Lubbock East 115/69 kV</t>
  </si>
  <si>
    <t>Upgrade both existing transformer</t>
  </si>
  <si>
    <t>To address loss of parallel transformer</t>
  </si>
  <si>
    <t xml:space="preserve">XFR - Mustang Sta N. 115 kV - Mustang Sta 230 kV </t>
  </si>
  <si>
    <t>Identified in the 2006 SPP Expansion Plan as needed in 6/1/2008TPL002</t>
  </si>
  <si>
    <t>Upgrade Transformer 230/115 kV 252/289 MVA</t>
  </si>
  <si>
    <t>To address overload @Mustang 230/115 kV transformer 1 for outage</t>
  </si>
  <si>
    <t>Device - Bowers</t>
  </si>
  <si>
    <t>INSTALL 14.4 MVAR CAP BOWERS 69 KV</t>
  </si>
  <si>
    <t>Voltage below criteria at the Canadian bus  for outage of Bowers to Grapevine 115kV</t>
  </si>
  <si>
    <t>GREENSBURG - JUDSON LARGE 115KV CKT 1</t>
  </si>
  <si>
    <t>Replace relays (upgrade protection system)</t>
  </si>
  <si>
    <t>To address overload of the GREENSBURG - JUDSON LARGE 115KV line for the outage of  the Mullergren-Spearville 230 KV</t>
  </si>
  <si>
    <t>WERE</t>
  </si>
  <si>
    <t>Line - Cities Service - 3rd &amp; VanBuren 69 kV</t>
  </si>
  <si>
    <t>TO Study Identified as Needed June 2006</t>
  </si>
  <si>
    <t>Tear down / Rebuild 3.18-mile line using 795 kcmil ACSR; Project is part of a long range plan to correct service issues in the City of Hutchinson area.</t>
  </si>
  <si>
    <t>Addresses overloads for loss of Circle-Davis 115 kV line, NERC Reliability Standard TPL-002-0.  Transmission Operating Directive 1205 no longer effective.</t>
  </si>
  <si>
    <t>Line - Golden Plain - Gatz 69 kV Rebuild</t>
  </si>
  <si>
    <t>Rebuild Gatz - Golden Plain Tap 69 kV line.</t>
  </si>
  <si>
    <t>To address line overload issues for the loss of Halstead (57736) - Mud Creek (57744) 69 kV line.</t>
  </si>
  <si>
    <t>Line - Hesston - Golden Plain 69 kV Rebuild</t>
  </si>
  <si>
    <t>Rebuild Hesston - Golden Plain Tap 69 kV line.</t>
  </si>
  <si>
    <t>Line - HTI Junction - Circleville 115 kV</t>
  </si>
  <si>
    <t>Rebuild 115 kV line</t>
  </si>
  <si>
    <t>See Westar Five-Year Transmission Construction Recommendations, August 12,2005, P. 11</t>
  </si>
  <si>
    <t>Install switched capacitor bank</t>
  </si>
  <si>
    <t>Line - Murry Gill Energy Center - MacArthur 69 kV</t>
  </si>
  <si>
    <t>Replace bus, jumpers and disconnect switches at MacArthur 69 kV substation to increase line capacity to conductor rating</t>
  </si>
  <si>
    <t>To address line overload issues for the loss of Gill Energy Center East (57795) - Gill Energy Center Jcn (57798) 69 kV line.</t>
  </si>
  <si>
    <t>Rebuild</t>
  </si>
  <si>
    <t>Line - Coffeyville - CRA 69 kV Rebuild</t>
  </si>
  <si>
    <t>Rebuild Coffeyville - CRA 69 kV line.</t>
  </si>
  <si>
    <t>To address line overload issues for the loss of CRA (57685) - Liberty (57697) 69 kV line.</t>
  </si>
  <si>
    <t>Line - Dearing - Coffeyville 69 kV Rebuild</t>
  </si>
  <si>
    <t>Rebuild Dearing - Coffeyville 69 kV line.</t>
  </si>
  <si>
    <t>Device - Sunset 69 kV Cap</t>
  </si>
  <si>
    <t>Install 10 Mvar cap at Sunset 69 kV (bus # 57844)</t>
  </si>
  <si>
    <t>Voltage support needed due to low voltage from loss of SWPS #1 and loss of Brookline-to-Morgan 345 kV line.</t>
  </si>
  <si>
    <t>Identified in the 2006 SPP Expansion Plan as needed in 6/1/2010 TPL002</t>
  </si>
  <si>
    <t>Multi - Hutchinson 115 kV conversion</t>
  </si>
  <si>
    <t>TO study identified as needed June 2006.  Project completes the conversion of the 69 kV system in Hutchinson to 115 kV.</t>
  </si>
  <si>
    <t>Convert the HEC - 43rd&amp;Lorraine - Tower 33 - Meadowlark - 3rd&amp;VanBuren 69 kV to 115 kV</t>
  </si>
  <si>
    <t>TO study identified as needed June 2006.  Project completes the conversion of the 69 kV system in Hutchinson to 115 kV.  Required for compliance with NERC Reliability Standard TPL-002-0.  See Westar Five-Year Transmission Construction Recommendations, August 12,2005, P. 23.</t>
  </si>
  <si>
    <t>Device - Rush Springs 69 kV</t>
  </si>
  <si>
    <t>Identified in the 2004_2005 SPP Expansion Plan as needed in 6/1/2006 TPL-002</t>
  </si>
  <si>
    <t>Install switched cap 3MVar</t>
  </si>
  <si>
    <t>To address low voltage @ Rush Springs due to outage of Fletcher to Marlow 69 kV line</t>
  </si>
  <si>
    <t>Line - ACME - W Norman 69 kV</t>
  </si>
  <si>
    <t>Reconductor 3.8 miles from 3/0 ACSR to 795 ACSR. RateA=81MVA, RateB=106MVA</t>
  </si>
  <si>
    <t>To relieve overload on ACME to W Norman 69 kV for outage of Canandian 138/69 kV transformer</t>
  </si>
  <si>
    <t>Device - Cashion 69 kV</t>
  </si>
  <si>
    <t>Install 2 - 3 MVAR capacitors at Cashion 69 kV bus</t>
  </si>
  <si>
    <t>To address low voltage @ Cashion 69 kV for loss of Dover to Dover Junction 69 kV line</t>
  </si>
  <si>
    <t>Device - Comanche</t>
  </si>
  <si>
    <t>Install 12 MVAR Capacitor at Comanche 138 kV bus</t>
  </si>
  <si>
    <t>Identified in Aggregate Study by Tariff Studies Group as a reliability project for the SPP Expansion Plan</t>
  </si>
  <si>
    <t>Device - Pink Southwest 138 kV</t>
  </si>
  <si>
    <t>Install 6 MVAR capacitor at Pink Southwest 138 kV bus</t>
  </si>
  <si>
    <t xml:space="preserve">To address low voltage @ Pink Southwest 138 kV for outage of </t>
  </si>
  <si>
    <t>Device - Snyder</t>
  </si>
  <si>
    <t>Upgrade 12 Mvar cap bank at Snyder to 24Mvar</t>
  </si>
  <si>
    <t>Line - Bradley - Rush Springs 69 kV</t>
  </si>
  <si>
    <t>12/1/07 *</t>
  </si>
  <si>
    <t>Identified in the 2006 SPP Expansion Plan as needed in 12/1/2007 TPL002</t>
  </si>
  <si>
    <t>Reconductor 6.9 miles from 1/0 ACSR to 795 ACSR. RateA=81MVA, RateB=106MVA</t>
  </si>
  <si>
    <t>To relieve overload on Bradley to Rush Springs 69 kV for outage of Elmore to Wallville 69 kV line.</t>
  </si>
  <si>
    <t>Line - Elmore - Wallville 69 kV</t>
  </si>
  <si>
    <t>Reconductor 6.2 miles from 1/0 ACSR to 336 ACSR. RateA=47MVA, RateB=61MVA</t>
  </si>
  <si>
    <t>To relieve overload for outage of Bradley to Rush Springs 69 kV line</t>
  </si>
  <si>
    <t>Multi - Sayre - Morewood 138 kV</t>
  </si>
  <si>
    <t>Build new 138 kV line Sayre to Erick. Convert voltage for Erick-Sweetwater-Durham-Brantley-Morewood-SW to 138 kV. Add Sayre PSO interconnect at 138 kV (assumed 15 miles of new line, 75 miles of voltage conv)</t>
  </si>
  <si>
    <t>To relieve overload for outage of Morwood 69 kV line</t>
  </si>
  <si>
    <t>* Indicates that In-Service date is assumed to be date identified in SPP Expansion Plan</t>
  </si>
  <si>
    <t>Total:</t>
  </si>
  <si>
    <t>Base Plan Upgrade recommendations identified in the Aggregates Study Process</t>
  </si>
  <si>
    <t>Line - Okmulgee  - Weleetka 138 kV Ckt 1</t>
  </si>
  <si>
    <t>Transmission Service Request</t>
  </si>
  <si>
    <t>Replace Weleetka wavetrap</t>
  </si>
  <si>
    <t>per 2005-AG2</t>
  </si>
  <si>
    <t>Line - Cache - Snyder 138kV</t>
  </si>
  <si>
    <t>Replace Snyder wavetrap</t>
  </si>
  <si>
    <t>per 2006-AG1</t>
  </si>
  <si>
    <t>Line - NW Henderson - Oak Hill 138 kV</t>
  </si>
  <si>
    <t>Replace wavetrap and reset CTs @ NW Henderson.</t>
  </si>
  <si>
    <t>per 2005-AG1</t>
  </si>
  <si>
    <t>Line - Wind Farm - Mooreland 138 kV</t>
  </si>
  <si>
    <t>Upgrade conductor between Mooreland 138 and Wind Farm 138 with 795AS33</t>
  </si>
  <si>
    <t>Upgrade terminal equipment at Mooreland</t>
  </si>
  <si>
    <t>Base Plan List as of April 25, 2006</t>
  </si>
  <si>
    <t>MW-mi</t>
  </si>
  <si>
    <t>Line - Tontitown - Elm Springs REC 161 kV</t>
  </si>
  <si>
    <t>Identified  in the 2004_2005  SPP Expansion Plan as needed in 2006 TPL002</t>
  </si>
  <si>
    <t>Rebuild line with 2-397 ACSR. Replace 1200 A switch 1045, and bus Elm Springs.</t>
  </si>
  <si>
    <t>Tontitown-Elm Spring 161 kV line overload for outage of Dyess-Tontitiown 161 kV</t>
  </si>
  <si>
    <t>Device - Arsenal Hill</t>
  </si>
  <si>
    <t>Required to meet Transmission owner Criteria</t>
  </si>
  <si>
    <t>Power factor correction, voltage support, and VAR supply.  Supplying VARs to the system enables generation to reduce VAR output, so that during contingencies,  generators can rapidly respond with VAR support.  The AEP Transmission Planning Reliability Criteria</t>
  </si>
  <si>
    <t>Device - Catoosa</t>
  </si>
  <si>
    <t>Power factor correction, voltage support, and VAR supply.  Supplying VARs to the system enables generation to reduce VAR output, so that during contingencies,  generators can rapidly respond with VAR support.  The AEP Transmission Planning Reliability Cri</t>
  </si>
  <si>
    <t>Line - Carthage REC - Carthage T 138 kV</t>
  </si>
  <si>
    <t>Identified  in the 2004_2005  SPP Expansion Plan as needed in 2007 TPL002</t>
  </si>
  <si>
    <t>Reconductor line with 1272 ACSR</t>
  </si>
  <si>
    <t xml:space="preserve">Carthage REC-Carthage overloads  for an outage Keatchie-Stonewall 138 kV </t>
  </si>
  <si>
    <t>Line - Siloam Springs - Chamber Springs 161 kV</t>
  </si>
  <si>
    <t>Identified  in the 2004_2005 SPP Expansion Plan as needed in 6/1/2007 TPL002</t>
  </si>
  <si>
    <t>New 161 line, Terminal equipment at Chamber Spring and Siloam Springs</t>
  </si>
  <si>
    <t>Flint Creek-Chamber Springs 161 kV and Flint Creek -Tontitown 161  kV overload for outage of Chamber Springs - Clarksville 345 kV</t>
  </si>
  <si>
    <t>Line - South Shreveport - SW Shreveport 138 kV</t>
  </si>
  <si>
    <t>Identified  in the 2004_2005 SPP Expansion Plan as needed in 6/1/2010 TPL002</t>
  </si>
  <si>
    <t>Replace wavetrap at South Shreveport</t>
  </si>
  <si>
    <t xml:space="preserve">To address overloads due to loss of Southwest Shreveport-Western Electric-Stonewall </t>
  </si>
  <si>
    <t>Line - 53rd &amp; Garnett N. Tap - Tulsa Southeast 138 kV</t>
  </si>
  <si>
    <t>Replace 3 switches</t>
  </si>
  <si>
    <t>53rd &amp; Garnett North Tap-Tulsa SE over load for an outage of Oneta- 12 ST. &amp; Lynn Lane</t>
  </si>
  <si>
    <t>Line - Knox Lee - Oak Hill #2 138 kV</t>
  </si>
  <si>
    <t xml:space="preserve">Replace relay, wave trap at Knoxlee </t>
  </si>
  <si>
    <t>x</t>
  </si>
  <si>
    <t>Line - Hart's Island - Port Robson 138 kV</t>
  </si>
  <si>
    <t>Project replaced by Finney Tap - Port Robson</t>
  </si>
  <si>
    <t>AEP is planning to build a new 1590 ACSR, 138 kV line, approximately 7 miles long, that will be radial (at least initially) from AEP's existing Hart's Island station in Shreveport, Louisiana.  The line will feed a new 138-12.5 kV station called "Port Robs</t>
  </si>
  <si>
    <t>To provide a second feed to new loads.  The new loads are expected to increase beyond the level that the 69 kV system will be able to serve for single contingencies including:  Overload of South Shreveport-Forbing 'T' 69 kV and Ellerbe Road-Lucas 69 kV for loss of Wallace Lake-Robson Road 69 kV or the Wallace Lake 138-69 kV autotransformer or overload of Wallace Lake-Robson Road 69 kV for loss of South Shreveport-Forbing 'T' 69 kV.</t>
  </si>
  <si>
    <t>Line - ReinMiller - Tipton Ford 161 kV</t>
  </si>
  <si>
    <t>Identified in the 2004_2005  SPP Expansion Plan as needed in 6/1/2007  TPL002</t>
  </si>
  <si>
    <t xml:space="preserve">Install new 161 kV line from 292 to 393 Build 4.2 miles  Terminal at both </t>
  </si>
  <si>
    <t>To address Joplin transformer overload for loss of Tipton-Joplin line</t>
  </si>
  <si>
    <t>XFR - Stilwell City 161/69 kV</t>
  </si>
  <si>
    <t>Install 161/69kV autotransformer at Stilwell</t>
  </si>
  <si>
    <t>Voltage @ Stilwell 54521 drops to 0.90pu with loss of line 96986--96983.  This area has multiple contingencies that create voltage violations according to NERC standards.  This Xfmr mitigates these violations.</t>
  </si>
  <si>
    <t>KCPL</t>
  </si>
  <si>
    <t>Line - Tomahawk - Bendix 161 kV</t>
  </si>
  <si>
    <t>Identified in the 2004_2005 SPP Expansion Plan as needed in 2006 - TPL-002</t>
  </si>
  <si>
    <t>reconductor line with 1192 acsr</t>
  </si>
  <si>
    <t>Reliability project to eliminate thermal violations for contingencies    SPP 2005 NERC 1A Reliability Assessments                                  B05SP0 case, contingency KCPL CROW #10, LaCygne-West Gardner</t>
  </si>
  <si>
    <t>Device - South Waverly</t>
  </si>
  <si>
    <t>Identified in the 2004_2005 SPP Expansion Plan as needed in 6/1/2007 TPL002</t>
  </si>
  <si>
    <t>Install 15 Mvar capacitor at S. Waverly 161 kV bus.</t>
  </si>
  <si>
    <t>Line - Stilwell - Antioch 161 kV</t>
  </si>
  <si>
    <t>Identified in the 2004_2005 SPP Expansion Plan as needed in 6/1/2007 - TPL-002</t>
  </si>
  <si>
    <t>Reconductor 161kV line</t>
  </si>
  <si>
    <t xml:space="preserve">Reliability project to eliminate thermal violations for LaCygne-West Gardner contingency    KCPL 2005 Summer Peak Operating Studies, KCPL 2005 Transmission Expansion Plan                                           </t>
  </si>
  <si>
    <t>Line - Craig Interconnection</t>
  </si>
  <si>
    <t>New interconnection with AECI at Craig 69 kV</t>
  </si>
  <si>
    <t>This interconnection operated normal open, used as an emergency back up for SJLP 69kV loop.  Loss of Browns Curve - Midway 69kV line produces low voltage at Craig and other adjacent substations (0.771 pu)</t>
  </si>
  <si>
    <t>Line - Nevada 161 - Nevada Plant 69 kV</t>
  </si>
  <si>
    <t>New Nevada Configuration - Appleton City now terminates in Nevada 161/69, new double circuit down to Nevada Plant</t>
  </si>
  <si>
    <t>Loss of 69kV line from Nevada 161 sub to Metz causes overload (107% Loading)</t>
  </si>
  <si>
    <t>Line - Reno - Sunny Lane 69 kV</t>
  </si>
  <si>
    <t>Replace Wave Trap and CT -- new limit 1200A</t>
  </si>
  <si>
    <t>Reno - Sunny Lane overload for OKGEMTL-19 Contingency</t>
  </si>
  <si>
    <t>Line - Richards Tap - Richards 138 kV</t>
  </si>
  <si>
    <t>Violations of OGE Operating Practice S3-5</t>
  </si>
  <si>
    <t>New 138 kV line</t>
  </si>
  <si>
    <t>Violations of OGE Operating Practice S3-5 due to radial load at Piedmont.  S3-5 documentation has been submitted to SPP in the past</t>
  </si>
  <si>
    <t>Line - Van Buren AVEC - VBI 69 kV</t>
  </si>
  <si>
    <t>Trap &amp; CTR work increase to 1200A.</t>
  </si>
  <si>
    <t>Single contingency 55294 JOHNSON to 55295 EXPOPRK 69kV in the 2007 Summer Peak model causes this overload.  Violates NERC TPL-002-0 and SPP Criteria 3.4.</t>
  </si>
  <si>
    <t>Line - Richards - Piedmont 138 kV</t>
  </si>
  <si>
    <t>New 138kV line from Piedmont to Richards.</t>
  </si>
  <si>
    <t>XFR - Norfork 161/69 kV</t>
  </si>
  <si>
    <t>SWPA is not a current tariff signature, but would like to participate in Cost Allocation under some agreement</t>
  </si>
  <si>
    <t>Replace transformer with rebuilt 37 MVA XF</t>
  </si>
  <si>
    <t>To address Northfork transformer overload for outage of Northfork - Viola 69 kV</t>
  </si>
  <si>
    <t>XFR - Bailey Co 115/69 kV</t>
  </si>
  <si>
    <t>XFR - Denver City 115/69 kV</t>
  </si>
  <si>
    <t>XFR - Kress 115/69 kV</t>
  </si>
  <si>
    <t>Identified  in the 2006  SPP Expansion Plan as needed in 6/1/07 TPL002</t>
  </si>
  <si>
    <t>Upgrade #2 Transformer</t>
  </si>
  <si>
    <t>XFR - Hockley 115/69 kV</t>
  </si>
  <si>
    <t>XFR - Terry Co 115/69 kV</t>
  </si>
  <si>
    <t>XFR - Hale Co 115/69 kV</t>
  </si>
  <si>
    <t>Line - Circle - Hutchinson Energy Center 115 kV</t>
  </si>
  <si>
    <t>Tear down / Rebuild 0.40-mile line replacing 556.5 kcmil ACSR with 1192.5 kcmil ACSR; Project is part of a long range plan to correct service issues in the City of Hutchinson area</t>
  </si>
  <si>
    <t>Overload for loss of Circle-Davis 115 kV line, NERC Reliability Standard TPL-002-0</t>
  </si>
  <si>
    <t>Line - Midwest Solvent Jct 1 - Atchison Jct 2 69 kV</t>
  </si>
  <si>
    <t>NERC Relibility Standard TPL-002-0 _Westar 06-10 Trans Const. Rec. P12</t>
  </si>
  <si>
    <t>Multi - Morris - McDowell</t>
  </si>
  <si>
    <t>Convert Morris County - McDowell Creek line to 230 kV operation; Construct McDowell Creek 230 kV substation and install 280 MVA 230-115 kV transformer; 230 kV ring bus substation work required at Morris County.</t>
  </si>
  <si>
    <t>See Westar Five-Year Transmission Construction Recommendations, August 12,2005, P. 8</t>
  </si>
  <si>
    <t>XFR - Butler 138/69 kV</t>
  </si>
  <si>
    <t>TO Study Identified as Needed November 2006</t>
  </si>
  <si>
    <t>Transformer will now be installed at Butler substation instead of Midian See email from Don Taylor 10/28/05</t>
  </si>
  <si>
    <t>New load requires this transformer addition; Required for compliance with NERC Reliability Standard TPL-002-0</t>
  </si>
  <si>
    <t>Device - Clearwater</t>
  </si>
  <si>
    <t>TO Study Identified as Needed Decemberr 2006</t>
  </si>
  <si>
    <t>Install switched capacitor bank at the new Clearwater 138 kV substation</t>
  </si>
  <si>
    <t xml:space="preserve"> NERC Reliability Standard TPL-002-0 - See Westar Energy Five-Year Transmission Construction Recommendations, August 12,2005, P. 15</t>
  </si>
  <si>
    <t>Device - UDALL  2</t>
  </si>
  <si>
    <t>NERC Reliability Standard TPL-002-0_Westar 5y_Trans_Const_Recomendation 2006-2010 p15-16</t>
  </si>
  <si>
    <t>Multi - HEC - 43rd &amp; Lorraine - Tower 33 69 kV</t>
  </si>
  <si>
    <t>TO Study Identified as Needed December 2006</t>
  </si>
  <si>
    <t>Tear down / rebuild 5.20-mile 69 kV line as 115 kV.  69 kV system in Hutchinson will be converted to 115 kV by fall 2008.</t>
  </si>
  <si>
    <t>Required for compliance with NERC Reliability Standard TPL-002-0.  The project eliminates Transmission Operating Directives when the conversion to 115 kV is complete in fall 2008.  This construction and rebuilding of substations are interlinked to provide</t>
  </si>
  <si>
    <t>Device - NE Parsons</t>
  </si>
  <si>
    <t>NERC Reliability Standard TPL-002-0_Westar 5y_Trans_Const_Recomendation 2006-2010 p14</t>
  </si>
  <si>
    <t>Device - Parsons</t>
  </si>
  <si>
    <t>NERC Reliability Standard TPL-002-0 _Westar 5y_Trans_Const_Recomendation 2006-2010 p13</t>
  </si>
  <si>
    <t>Device - Nortonville 69 kV Cap</t>
  </si>
  <si>
    <t>Install 15 Mvar cap at Nortonville 69 kV (bus #57481)</t>
  </si>
  <si>
    <t>NERC Reliability Standard TPL-002-0_Westar 5y_Trans_Const_Recomendation 2006-2010 p18</t>
  </si>
  <si>
    <t>XFR - Weaver 138/69 kV</t>
  </si>
  <si>
    <t>Project pushed back to 2010 for reliability need</t>
  </si>
  <si>
    <t>New transformer #2 at Weaver</t>
  </si>
  <si>
    <t>To address ineffective operating guide in 2010</t>
  </si>
  <si>
    <t>Device - Dover</t>
  </si>
  <si>
    <t>Project is being replaced by Rush Springs Cap</t>
  </si>
  <si>
    <t xml:space="preserve">Add 3 MVAR switched capacitor at Rush Springs 69 kV bus.  </t>
  </si>
  <si>
    <t>Low Voltage around Dover for loss of Dover XF</t>
  </si>
  <si>
    <t xml:space="preserve">A. Weighted Cost of Capital </t>
  </si>
  <si>
    <t xml:space="preserve">B. Depreciation Rate for Transmission </t>
  </si>
  <si>
    <t xml:space="preserve">C. Composite Income Tax Expense </t>
  </si>
  <si>
    <t xml:space="preserve">D. Rate for Other Tax Expense </t>
  </si>
  <si>
    <t xml:space="preserve">E. Rate for Administrative &amp; General Expense </t>
  </si>
  <si>
    <t>F. Rate for Operation &amp; Maintenance Expense</t>
  </si>
  <si>
    <t>G. Rate for Allocation of General Plant</t>
  </si>
  <si>
    <t>H. Deferred Income Tax Adjustment</t>
  </si>
  <si>
    <t>Total Fixed Charge Rate (A+B+C+D+E+F+G-H)</t>
  </si>
  <si>
    <t>American Electric Power West</t>
  </si>
  <si>
    <t>Central Louisiana Electric Company (1)</t>
  </si>
  <si>
    <t>Empire District Electric</t>
  </si>
  <si>
    <t>Grand River Dam Authority</t>
  </si>
  <si>
    <t>Kansas City Power &amp; Light Company</t>
  </si>
  <si>
    <t>Midwest Energy</t>
  </si>
  <si>
    <t>Missouri Public Service (Aquila)</t>
  </si>
  <si>
    <t>OG+E Electric Services</t>
  </si>
  <si>
    <t>Southwestern Power Administration</t>
  </si>
  <si>
    <t>Southwestern Public Service (XCEL)</t>
  </si>
  <si>
    <t>City Utilities, Springfield</t>
  </si>
  <si>
    <t>Sunflower (Tariff participant 4/1/06)</t>
  </si>
  <si>
    <t>St. Joes Light and Power (Aquila)</t>
  </si>
  <si>
    <t>West Plains (Aquila)</t>
  </si>
  <si>
    <t>Western Farmers Electric Coop.</t>
  </si>
  <si>
    <t>Westar Energy</t>
  </si>
  <si>
    <t>33% Regional Allocations</t>
  </si>
  <si>
    <t>67% MW-mi Allocations</t>
  </si>
  <si>
    <t>AVERAGE PEAK LOAD</t>
  </si>
  <si>
    <t>Members/Customer</t>
  </si>
  <si>
    <t>2005 Avg</t>
  </si>
  <si>
    <t>AEP_PSO_SWEPCO_TNC</t>
  </si>
  <si>
    <t>ETEC</t>
  </si>
  <si>
    <t>NTEC</t>
  </si>
  <si>
    <t>TXLA</t>
  </si>
  <si>
    <t>OMPA_PSO</t>
  </si>
  <si>
    <t>GOLDEN SPREAD</t>
  </si>
  <si>
    <t>TOTAL AEP ZONE</t>
  </si>
  <si>
    <t>AQUILA_MPS_SJLP</t>
  </si>
  <si>
    <t>AQUILA_MPS</t>
  </si>
  <si>
    <t>AQUILA_WPEK</t>
  </si>
  <si>
    <t>EDME</t>
  </si>
  <si>
    <t>KEPCO</t>
  </si>
  <si>
    <t>TOTAL EDME ZONE</t>
  </si>
  <si>
    <t xml:space="preserve">GRDA </t>
  </si>
  <si>
    <t>MIDW_KEPCo</t>
  </si>
  <si>
    <t>TOTAL MIDW ZONE</t>
  </si>
  <si>
    <t>OMPA_OGE</t>
  </si>
  <si>
    <t>WFEC_OGE</t>
  </si>
  <si>
    <t>TOTAL OKGE ZONE</t>
  </si>
  <si>
    <t>OKGE Total</t>
  </si>
  <si>
    <t>WEFA</t>
  </si>
  <si>
    <t>OMPA_WFEC</t>
  </si>
  <si>
    <t>WEFA_LINDSEY</t>
  </si>
  <si>
    <t>TOTAL WFEA ZONE</t>
  </si>
  <si>
    <t>KPP</t>
  </si>
  <si>
    <t>Westar_KGE_KPL</t>
  </si>
  <si>
    <t>TOTAL WESTAR ZONE</t>
  </si>
  <si>
    <t>Residential Load Shares</t>
  </si>
  <si>
    <t>Project:</t>
  </si>
  <si>
    <t>Cost:</t>
  </si>
  <si>
    <t>FCR:</t>
  </si>
  <si>
    <t>Area:</t>
  </si>
  <si>
    <t>c</t>
  </si>
  <si>
    <t>TOTALS</t>
  </si>
  <si>
    <t>Nevada - Nevada Plant</t>
  </si>
  <si>
    <t>HTI Jct - Circleville</t>
  </si>
  <si>
    <t>Summary of Cost Allocation Per Zone (in incremental ATRR)</t>
  </si>
  <si>
    <t>MW-Mi Impacts</t>
  </si>
  <si>
    <t>No MW-Mi Impacts</t>
  </si>
  <si>
    <t>Totals</t>
  </si>
  <si>
    <t>Projects with No Mw-mi Impact</t>
  </si>
  <si>
    <t>Projects with Mw-mi Impact</t>
  </si>
  <si>
    <t>Multi - Knoll - Hays - Vine 115 kV</t>
  </si>
  <si>
    <t>Identified  in the 2006  SPP Expansion Plan as needed in 2008 TPL002</t>
  </si>
  <si>
    <t>Tap Vine - Knoll 115 kV and reconductor Hays Plant - Vine Street and S. Hays - Hays Plant</t>
  </si>
  <si>
    <t>To address overload of Vine -  Hays Plant overload for the Knoll 230/115 kV Transformer outage</t>
  </si>
  <si>
    <t>Line - Lake Road to Industrial Park 161 kV</t>
  </si>
  <si>
    <t>Replace existing structures to allow for higher rating</t>
  </si>
  <si>
    <t>To address overload of Lake Road to Industrial Park 161 kV for outage of St. Joseph to Woodbine 161 kV</t>
  </si>
  <si>
    <t>Line - Blue Springs - Duncan Road 161 kV</t>
  </si>
  <si>
    <t>Itentified by Tarrif Studies group as an Expansion Plan project needed 6/1/2008</t>
  </si>
  <si>
    <t>Upgrade to conductor  Bundled Drake</t>
  </si>
  <si>
    <t>Identified as Expansion Plan project by the Tarrif Studies group in AGS 2006-1 Blue Sprins  East  to Duncan 161 kV line over loads for an outage of PLEASANT HILL () 345/161/13.8KV TRANSFORMER CKT 1 over load in years 2006 throough 2010</t>
  </si>
  <si>
    <t>Line - Westmoore - Pennsylvania 138 kV</t>
  </si>
  <si>
    <t>Identified in the 2006 SPP Expansion Plan as needed in 10/1/2007 TPL002</t>
  </si>
  <si>
    <t>Replace the disconnect switches for breaker 108 at Pennsylvania Substation.  Replace the 1200A trap.  Increase CTR.  Relay replacement may be required.</t>
  </si>
  <si>
    <t>Identifid By the AG study as an Expansion Plan Project being need in 2007 fall for an outage CZECH HALL  -CIMARRON 138 or an outage of CZECH HALL  - INDIAN HILLS 138</t>
  </si>
  <si>
    <t>XFR - Cochran 115/69 kV</t>
  </si>
  <si>
    <t>XFR - Artesia 115/69 kV</t>
  </si>
  <si>
    <t>XFR - NE Hereford 115/69 kV</t>
  </si>
  <si>
    <t>Add second 115/69 kV transformer</t>
  </si>
  <si>
    <t>NE Herford 115/69 kV XF overload for outage of Herferd to Deaf Smith County Interchange 115 kV this also relives the overload of the Hereford Interchange 115/69 kV XF for the outage of NE Herford 115/69 kV XF</t>
  </si>
  <si>
    <t>XFR - County Line 115/69 kV</t>
  </si>
  <si>
    <t>Identified  in the 2006  SPP Expansion Plan as needed in 2007 TPL002</t>
  </si>
  <si>
    <t>Replace existing 66 MVA 115-69 kV transformer with 112 MVA unit</t>
  </si>
  <si>
    <t>To address overload issue at County Line 115 KV (57153) for the loss of Stranger Creek 345/115/14.4kV XFMR (56772/57268/56811).</t>
  </si>
  <si>
    <t>Line - Stranger Creek - Thornton Street 115 kV</t>
  </si>
  <si>
    <t>New 115 kV Line from Stranger Creek (57268) to Thornton Street (57272).</t>
  </si>
  <si>
    <t>To address low voltage issues @ Hallmark 115 kV (57242) &amp; Lansing 115 kV (57246) for the loss of the Jarbalo (57244) - Lansing (57246) 115 kV line.  Also addresses low voltage issues @ Parallel 115 kV (57218), Walnut 115 kV (57220), Arnold 69 kV (57471), Atchison Castings 69 kV (57474), Maur Hill 69 kV (57476), Midwest Grain 69 kV (57477), Muscotah 69 kV (57480), Nortonville 69 kV (57481), Wathena 69 kV (57105) for the loss of Arnold to Stranger Creek 115 kV line.  Also addresses overload issues.</t>
  </si>
  <si>
    <t>Device - 3rd &amp; VanBuren 115 kV</t>
  </si>
  <si>
    <t>To address Westar voltage criteria violation at 3rd &amp; Van Buren 115 kV (bus # 57435), 43rd &amp; Lorraine 115 kV (bus # 57440) &amp; Meadowlark 115 kV (bus # 57441) for the loss of Hutchinson Energy Center (bus # 57419) - 43rd &amp; Lorraine (bus # 57440) 115 KV line.</t>
  </si>
  <si>
    <t>Stranger Creek - Thorton</t>
  </si>
  <si>
    <t>Direct Assigned</t>
  </si>
  <si>
    <t>No MW-Mi</t>
  </si>
  <si>
    <t>MW-Mi</t>
  </si>
  <si>
    <t>Total</t>
  </si>
  <si>
    <t>Number of Projects</t>
  </si>
  <si>
    <t>check</t>
  </si>
  <si>
    <t>E&amp;C $ Millions</t>
  </si>
  <si>
    <t>100% Zonal Allocations</t>
  </si>
  <si>
    <t>Projects with 100% Zonal Allocation (&lt;= $100k)</t>
  </si>
  <si>
    <t>100% Zonal</t>
  </si>
  <si>
    <t>100% Zonal E&amp;C (in ATRR)</t>
  </si>
  <si>
    <t>E&amp;C in ATRR</t>
  </si>
  <si>
    <t>Zonal Allocations</t>
  </si>
  <si>
    <t>100% Zonal Allocation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</si>
</sst>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m/dd/yy;@"/>
    <numFmt numFmtId="167" formatCode="&quot;$&quot;#,##0"/>
    <numFmt numFmtId="168" formatCode="0.0000"/>
    <numFmt numFmtId="169" formatCode="0;\-0;;@"/>
    <numFmt numFmtId="170" formatCode="0.000"/>
    <numFmt numFmtId="171" formatCode="0.000000"/>
    <numFmt numFmtId="172" formatCode="0.00000"/>
    <numFmt numFmtId="173" formatCode="#,##0.0000"/>
    <numFmt numFmtId="174" formatCode="0_)"/>
    <numFmt numFmtId="175" formatCode="&quot;$&quot;#,##0.00"/>
    <numFmt numFmtId="176" formatCode="0.0000%"/>
    <numFmt numFmtId="177" formatCode="dddd\,\ mmmm\ dd\,\ yyyy"/>
    <numFmt numFmtId="178" formatCode="dd\-mmm\-yy"/>
    <numFmt numFmtId="179" formatCode="&quot;$&quot;#,##0.00;\(&quot;$&quot;#,##0.00\)"/>
    <numFmt numFmtId="180" formatCode="d\-mmm\-yyyy"/>
    <numFmt numFmtId="181" formatCode="&quot;$&quot;#,##0.0;\(&quot;$&quot;#,##0.0\)"/>
    <numFmt numFmtId="182" formatCode="&quot;$&quot;#,##0;\(&quot;$&quot;#,##0\)"/>
    <numFmt numFmtId="183" formatCode="_(&quot;$&quot;* #,##0.0_);_(&quot;$&quot;* \(#,##0.0\);_(&quot;$&quot;* &quot;-&quot;??_);_(@_)"/>
    <numFmt numFmtId="184" formatCode="_(&quot;$&quot;* #,##0_);_(&quot;$&quot;* \(#,##0\);_(&quot;$&quot;* &quot;-&quot;??_);_(@_)"/>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0"/>
    <numFmt numFmtId="193" formatCode="0.000%"/>
    <numFmt numFmtId="194" formatCode="0.00000%"/>
    <numFmt numFmtId="195" formatCode="_(&quot;$&quot;* #,##0.000_);_(&quot;$&quot;* \(#,##0.000\);_(&quot;$&quot;* &quot;-&quot;??_);_(@_)"/>
    <numFmt numFmtId="196" formatCode="_(&quot;$&quot;* #,##0.0000_);_(&quot;$&quot;* \(#,##0.0000\);_(&quot;$&quot;* &quot;-&quot;??_);_(@_)"/>
  </numFmts>
  <fonts count="26">
    <font>
      <sz val="10"/>
      <name val="Arial"/>
      <family val="0"/>
    </font>
    <font>
      <b/>
      <sz val="10"/>
      <name val="Arial"/>
      <family val="2"/>
    </font>
    <font>
      <i/>
      <sz val="10"/>
      <name val="Arial"/>
      <family val="2"/>
    </font>
    <font>
      <sz val="8"/>
      <name val="Arial"/>
      <family val="0"/>
    </font>
    <font>
      <b/>
      <sz val="16"/>
      <name val="Arial"/>
      <family val="2"/>
    </font>
    <font>
      <b/>
      <sz val="18"/>
      <name val="Arial"/>
      <family val="2"/>
    </font>
    <font>
      <sz val="14"/>
      <name val="Arial"/>
      <family val="2"/>
    </font>
    <font>
      <b/>
      <sz val="10"/>
      <color indexed="8"/>
      <name val="Arial"/>
      <family val="2"/>
    </font>
    <font>
      <b/>
      <sz val="10"/>
      <color indexed="17"/>
      <name val="Arial"/>
      <family val="2"/>
    </font>
    <font>
      <sz val="10"/>
      <color indexed="8"/>
      <name val="Arial"/>
      <family val="2"/>
    </font>
    <font>
      <b/>
      <sz val="10"/>
      <color indexed="10"/>
      <name val="Arial"/>
      <family val="2"/>
    </font>
    <font>
      <b/>
      <sz val="10"/>
      <color indexed="12"/>
      <name val="Arial"/>
      <family val="2"/>
    </font>
    <font>
      <strike/>
      <sz val="10"/>
      <name val="Arial"/>
      <family val="0"/>
    </font>
    <font>
      <sz val="10"/>
      <color indexed="12"/>
      <name val="Arial"/>
      <family val="0"/>
    </font>
    <font>
      <b/>
      <sz val="8"/>
      <name val="Tahoma"/>
      <family val="0"/>
    </font>
    <font>
      <sz val="8"/>
      <name val="Tahoma"/>
      <family val="0"/>
    </font>
    <font>
      <u val="single"/>
      <sz val="10"/>
      <color indexed="36"/>
      <name val="Arial"/>
      <family val="0"/>
    </font>
    <font>
      <u val="single"/>
      <sz val="10"/>
      <color indexed="12"/>
      <name val="Arial"/>
      <family val="0"/>
    </font>
    <font>
      <b/>
      <sz val="8"/>
      <color indexed="8"/>
      <name val="Arial"/>
      <family val="0"/>
    </font>
    <font>
      <sz val="8"/>
      <color indexed="8"/>
      <name val="Arial"/>
      <family val="0"/>
    </font>
    <font>
      <b/>
      <sz val="12"/>
      <color indexed="8"/>
      <name val="Arial"/>
      <family val="2"/>
    </font>
    <font>
      <b/>
      <sz val="12"/>
      <name val="Arial"/>
      <family val="2"/>
    </font>
    <font>
      <b/>
      <sz val="10"/>
      <color indexed="21"/>
      <name val="Arial"/>
      <family val="2"/>
    </font>
    <font>
      <b/>
      <sz val="14"/>
      <name val="Arial"/>
      <family val="2"/>
    </font>
    <font>
      <sz val="18"/>
      <name val="Arial"/>
      <family val="0"/>
    </font>
    <font>
      <b/>
      <sz val="8"/>
      <name val="Arial"/>
      <family val="2"/>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13">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0">
    <xf numFmtId="0" fontId="0" fillId="0" borderId="0" xfId="0" applyAlignment="1">
      <alignment/>
    </xf>
    <xf numFmtId="0" fontId="0" fillId="0" borderId="0" xfId="0" applyBorder="1" applyAlignment="1">
      <alignment/>
    </xf>
    <xf numFmtId="0" fontId="1" fillId="2" borderId="1" xfId="0" applyFont="1" applyFill="1" applyBorder="1" applyAlignment="1">
      <alignment/>
    </xf>
    <xf numFmtId="0" fontId="2" fillId="3" borderId="2" xfId="0" applyFont="1" applyFill="1" applyBorder="1" applyAlignment="1">
      <alignment/>
    </xf>
    <xf numFmtId="0" fontId="0" fillId="4" borderId="2" xfId="0" applyFont="1" applyFill="1" applyBorder="1" applyAlignment="1">
      <alignment/>
    </xf>
    <xf numFmtId="0" fontId="0" fillId="2" borderId="1" xfId="0" applyFill="1" applyBorder="1" applyAlignment="1">
      <alignment/>
    </xf>
    <xf numFmtId="164" fontId="0" fillId="3" borderId="1" xfId="0" applyNumberFormat="1" applyFill="1" applyBorder="1" applyAlignment="1">
      <alignment/>
    </xf>
    <xf numFmtId="165" fontId="0" fillId="4" borderId="1" xfId="23" applyNumberFormat="1" applyFont="1" applyFill="1" applyBorder="1" applyAlignment="1">
      <alignment/>
    </xf>
    <xf numFmtId="2" fontId="1" fillId="3" borderId="1" xfId="0" applyNumberFormat="1" applyFont="1" applyFill="1" applyBorder="1" applyAlignment="1">
      <alignment/>
    </xf>
    <xf numFmtId="10" fontId="1" fillId="4" borderId="1" xfId="23" applyNumberFormat="1" applyFont="1" applyFill="1" applyBorder="1" applyAlignment="1">
      <alignment/>
    </xf>
    <xf numFmtId="0" fontId="1" fillId="0" borderId="0" xfId="0" applyFont="1" applyAlignment="1">
      <alignment/>
    </xf>
    <xf numFmtId="0" fontId="1" fillId="0" borderId="0" xfId="0" applyFont="1" applyFill="1" applyBorder="1" applyAlignment="1">
      <alignment/>
    </xf>
    <xf numFmtId="2" fontId="1" fillId="0" borderId="0" xfId="0" applyNumberFormat="1" applyFont="1" applyFill="1" applyBorder="1" applyAlignment="1">
      <alignment/>
    </xf>
    <xf numFmtId="10" fontId="1" fillId="0" borderId="0" xfId="23" applyNumberFormat="1" applyFont="1" applyFill="1" applyBorder="1" applyAlignment="1">
      <alignment/>
    </xf>
    <xf numFmtId="0" fontId="0" fillId="0" borderId="0" xfId="0" applyFill="1" applyAlignment="1">
      <alignment/>
    </xf>
    <xf numFmtId="0" fontId="4"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Font="1" applyAlignment="1">
      <alignment vertical="center"/>
    </xf>
    <xf numFmtId="0" fontId="1" fillId="5" borderId="1" xfId="0" applyFont="1" applyFill="1" applyBorder="1" applyAlignment="1">
      <alignment horizontal="center" vertical="center" textRotation="30"/>
    </xf>
    <xf numFmtId="0" fontId="6" fillId="0" borderId="0" xfId="0" applyFont="1" applyBorder="1" applyAlignment="1">
      <alignment horizontal="left"/>
    </xf>
    <xf numFmtId="0" fontId="5" fillId="0" borderId="3" xfId="0" applyFont="1" applyBorder="1" applyAlignment="1">
      <alignment horizontal="left"/>
    </xf>
    <xf numFmtId="0" fontId="5" fillId="0" borderId="3" xfId="0" applyFont="1" applyBorder="1" applyAlignment="1">
      <alignment horizontal="center" vertical="center"/>
    </xf>
    <xf numFmtId="0" fontId="1" fillId="5" borderId="1" xfId="0" applyFont="1" applyFill="1" applyBorder="1" applyAlignment="1">
      <alignment horizontal="center" vertical="center"/>
    </xf>
    <xf numFmtId="166" fontId="7" fillId="5" borderId="1" xfId="0" applyNumberFormat="1" applyFont="1" applyFill="1" applyBorder="1" applyAlignment="1">
      <alignment horizontal="center" vertical="center" wrapText="1"/>
    </xf>
    <xf numFmtId="167" fontId="7" fillId="5" borderId="1"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0" fillId="0" borderId="0" xfId="0" applyFill="1" applyAlignment="1">
      <alignment vertical="center"/>
    </xf>
    <xf numFmtId="0" fontId="0" fillId="0" borderId="1" xfId="0" applyFill="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vertical="center"/>
    </xf>
    <xf numFmtId="166" fontId="0" fillId="0"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xf>
    <xf numFmtId="0" fontId="0" fillId="0" borderId="0" xfId="0" applyFill="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0" fillId="6" borderId="0" xfId="0" applyFill="1" applyAlignment="1">
      <alignment vertical="center"/>
    </xf>
    <xf numFmtId="0" fontId="0" fillId="6" borderId="1" xfId="0" applyFill="1" applyBorder="1" applyAlignment="1">
      <alignment horizontal="center" vertical="center"/>
    </xf>
    <xf numFmtId="0" fontId="0" fillId="6" borderId="1" xfId="0" applyFont="1" applyFill="1" applyBorder="1" applyAlignment="1">
      <alignment vertical="center" wrapText="1"/>
    </xf>
    <xf numFmtId="0" fontId="0" fillId="6" borderId="1" xfId="0" applyFont="1" applyFill="1" applyBorder="1" applyAlignment="1">
      <alignment vertical="center"/>
    </xf>
    <xf numFmtId="166" fontId="9" fillId="6" borderId="1" xfId="0" applyNumberFormat="1" applyFont="1" applyFill="1" applyBorder="1" applyAlignment="1">
      <alignment horizontal="center" vertical="center" wrapText="1"/>
    </xf>
    <xf numFmtId="167" fontId="0" fillId="6" borderId="1" xfId="0" applyNumberFormat="1" applyFont="1" applyFill="1" applyBorder="1" applyAlignment="1">
      <alignment horizontal="center" vertical="center" wrapText="1"/>
    </xf>
    <xf numFmtId="14" fontId="0" fillId="6" borderId="1" xfId="0" applyNumberFormat="1" applyFont="1" applyFill="1" applyBorder="1" applyAlignment="1">
      <alignment horizontal="center" vertical="center" wrapText="1"/>
    </xf>
    <xf numFmtId="0" fontId="9" fillId="6" borderId="1" xfId="0" applyFont="1" applyFill="1" applyBorder="1" applyAlignment="1">
      <alignment horizontal="justify" vertical="center" wrapText="1"/>
    </xf>
    <xf numFmtId="0" fontId="0" fillId="6" borderId="1" xfId="0" applyFont="1" applyFill="1" applyBorder="1" applyAlignment="1">
      <alignment horizontal="justify" vertical="center" wrapText="1"/>
    </xf>
    <xf numFmtId="0" fontId="0" fillId="6" borderId="1" xfId="0" applyFont="1" applyFill="1" applyBorder="1" applyAlignment="1">
      <alignment horizontal="center" vertical="center"/>
    </xf>
    <xf numFmtId="0" fontId="0" fillId="6" borderId="0" xfId="0" applyFill="1" applyAlignment="1">
      <alignment vertical="center" wrapText="1"/>
    </xf>
    <xf numFmtId="167" fontId="0" fillId="0" borderId="1" xfId="18"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1" xfId="0" applyFont="1" applyFill="1" applyBorder="1" applyAlignment="1">
      <alignment horizontal="center" vertical="center" wrapText="1"/>
    </xf>
    <xf numFmtId="167" fontId="0" fillId="7"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67" fontId="0" fillId="7" borderId="1" xfId="18" applyNumberFormat="1" applyFont="1" applyFill="1" applyBorder="1" applyAlignment="1">
      <alignment horizontal="center" vertical="center" wrapText="1"/>
    </xf>
    <xf numFmtId="0" fontId="0" fillId="0" borderId="0" xfId="0" applyFont="1" applyAlignment="1">
      <alignment vertical="center"/>
    </xf>
    <xf numFmtId="0" fontId="1" fillId="0" borderId="0" xfId="0" applyFont="1" applyAlignment="1">
      <alignment vertical="center"/>
    </xf>
    <xf numFmtId="167" fontId="0" fillId="0" borderId="0" xfId="0" applyNumberFormat="1" applyAlignment="1">
      <alignment vertical="center"/>
    </xf>
    <xf numFmtId="0" fontId="5" fillId="0" borderId="3" xfId="0" applyFont="1" applyBorder="1" applyAlignment="1">
      <alignment horizontal="left" vertical="center"/>
    </xf>
    <xf numFmtId="167" fontId="9"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xf>
    <xf numFmtId="166" fontId="0" fillId="6" borderId="1" xfId="0" applyNumberFormat="1" applyFont="1" applyFill="1" applyBorder="1" applyAlignment="1">
      <alignment horizontal="center" vertical="center" wrapText="1"/>
    </xf>
    <xf numFmtId="0" fontId="9" fillId="6" borderId="1" xfId="0" applyFont="1" applyFill="1" applyBorder="1" applyAlignment="1" quotePrefix="1">
      <alignment horizontal="justify" vertical="center" wrapText="1"/>
    </xf>
    <xf numFmtId="0" fontId="0" fillId="0" borderId="0" xfId="0" applyAlignment="1">
      <alignment horizontal="center"/>
    </xf>
    <xf numFmtId="0" fontId="1"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8" borderId="1" xfId="0" applyFont="1" applyFill="1" applyBorder="1" applyAlignment="1">
      <alignment vertical="center"/>
    </xf>
    <xf numFmtId="166" fontId="12" fillId="8" borderId="1" xfId="0" applyNumberFormat="1" applyFont="1" applyFill="1" applyBorder="1" applyAlignment="1">
      <alignment horizontal="center" vertical="center" wrapText="1"/>
    </xf>
    <xf numFmtId="167" fontId="12" fillId="8" borderId="1" xfId="0" applyNumberFormat="1" applyFont="1" applyFill="1" applyBorder="1" applyAlignment="1">
      <alignment horizontal="center" vertical="center" wrapText="1"/>
    </xf>
    <xf numFmtId="0" fontId="13" fillId="8" borderId="1" xfId="0" applyFont="1" applyFill="1" applyBorder="1" applyAlignment="1">
      <alignment horizontal="justify" vertical="center" wrapText="1"/>
    </xf>
    <xf numFmtId="0" fontId="12" fillId="8" borderId="1" xfId="0" applyFont="1" applyFill="1" applyBorder="1" applyAlignment="1">
      <alignment horizontal="justify" vertical="center" wrapText="1"/>
    </xf>
    <xf numFmtId="0" fontId="0" fillId="0" borderId="0" xfId="0" applyFont="1" applyFill="1" applyAlignment="1">
      <alignment vertical="center" wrapText="1"/>
    </xf>
    <xf numFmtId="167" fontId="12" fillId="8" borderId="1" xfId="18" applyNumberFormat="1" applyFont="1" applyFill="1" applyBorder="1" applyAlignment="1">
      <alignment horizontal="center" vertical="center" wrapText="1"/>
    </xf>
    <xf numFmtId="0" fontId="12" fillId="8" borderId="1" xfId="0" applyFont="1" applyFill="1" applyBorder="1" applyAlignment="1">
      <alignment vertical="center" wrapText="1"/>
    </xf>
    <xf numFmtId="0" fontId="13" fillId="8" borderId="1" xfId="0" applyFont="1" applyFill="1" applyBorder="1" applyAlignment="1">
      <alignment horizontal="left" vertical="center" wrapText="1"/>
    </xf>
    <xf numFmtId="0" fontId="0" fillId="0" borderId="0" xfId="0" applyFont="1" applyFill="1" applyBorder="1" applyAlignment="1">
      <alignment horizontal="center" vertical="center"/>
    </xf>
    <xf numFmtId="167" fontId="0" fillId="0" borderId="0" xfId="0" applyNumberFormat="1" applyAlignment="1">
      <alignment/>
    </xf>
    <xf numFmtId="0" fontId="18" fillId="6" borderId="0" xfId="22" applyNumberFormat="1" applyFont="1" applyFill="1" applyAlignment="1">
      <alignment horizontal="centerContinuous" vertical="center"/>
      <protection/>
    </xf>
    <xf numFmtId="0" fontId="19" fillId="6" borderId="5" xfId="22" applyNumberFormat="1" applyFont="1" applyFill="1" applyBorder="1" applyAlignment="1">
      <alignment vertical="top" wrapText="1"/>
      <protection/>
    </xf>
    <xf numFmtId="0" fontId="9" fillId="0" borderId="0" xfId="22">
      <alignment/>
      <protection/>
    </xf>
    <xf numFmtId="0" fontId="19" fillId="3" borderId="1" xfId="22" applyFont="1" applyFill="1" applyBorder="1">
      <alignment/>
      <protection/>
    </xf>
    <xf numFmtId="176" fontId="19" fillId="3" borderId="1" xfId="22" applyNumberFormat="1" applyFont="1" applyFill="1" applyBorder="1">
      <alignment/>
      <protection/>
    </xf>
    <xf numFmtId="0" fontId="19" fillId="0" borderId="1" xfId="22" applyFont="1" applyBorder="1">
      <alignment/>
      <protection/>
    </xf>
    <xf numFmtId="176" fontId="19" fillId="0" borderId="1" xfId="22" applyNumberFormat="1" applyFont="1" applyBorder="1">
      <alignment/>
      <protection/>
    </xf>
    <xf numFmtId="0" fontId="19" fillId="0" borderId="1" xfId="22" applyFont="1" applyBorder="1">
      <alignment/>
      <protection/>
    </xf>
    <xf numFmtId="0" fontId="19" fillId="3" borderId="1" xfId="22" applyFont="1" applyFill="1" applyBorder="1">
      <alignment/>
      <protection/>
    </xf>
    <xf numFmtId="0" fontId="1" fillId="5" borderId="1" xfId="0" applyFont="1" applyFill="1" applyBorder="1" applyAlignment="1">
      <alignment wrapText="1"/>
    </xf>
    <xf numFmtId="174" fontId="20" fillId="0" borderId="0" xfId="0" applyNumberFormat="1" applyFont="1" applyFill="1" applyAlignment="1" applyProtection="1">
      <alignment/>
      <protection/>
    </xf>
    <xf numFmtId="7" fontId="20" fillId="0" borderId="0" xfId="0" applyNumberFormat="1" applyFont="1" applyFill="1" applyAlignment="1" applyProtection="1">
      <alignment/>
      <protection/>
    </xf>
    <xf numFmtId="0" fontId="20" fillId="0" borderId="0" xfId="0" applyNumberFormat="1" applyFont="1" applyFill="1" applyAlignment="1" applyProtection="1">
      <alignment/>
      <protection/>
    </xf>
    <xf numFmtId="0" fontId="1" fillId="0" borderId="0" xfId="0" applyFont="1" applyFill="1" applyAlignment="1">
      <alignment/>
    </xf>
    <xf numFmtId="0" fontId="21" fillId="0" borderId="0" xfId="0" applyFont="1" applyFill="1" applyAlignment="1">
      <alignment/>
    </xf>
    <xf numFmtId="175" fontId="21" fillId="0" borderId="0" xfId="0" applyNumberFormat="1" applyFont="1" applyFill="1" applyAlignment="1">
      <alignment/>
    </xf>
    <xf numFmtId="0" fontId="21" fillId="0" borderId="0" xfId="0" applyNumberFormat="1" applyFont="1" applyFill="1" applyAlignment="1">
      <alignment/>
    </xf>
    <xf numFmtId="49" fontId="7" fillId="0" borderId="0" xfId="0" applyNumberFormat="1" applyFont="1" applyFill="1" applyBorder="1" applyAlignment="1">
      <alignment horizontal="left"/>
    </xf>
    <xf numFmtId="17" fontId="1" fillId="0" borderId="0" xfId="0" applyNumberFormat="1" applyFont="1" applyFill="1" applyAlignment="1">
      <alignment horizontal="right"/>
    </xf>
    <xf numFmtId="0" fontId="1" fillId="0" borderId="0" xfId="0" applyNumberFormat="1" applyFont="1" applyFill="1" applyAlignment="1">
      <alignment horizontal="right"/>
    </xf>
    <xf numFmtId="49" fontId="7"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ill="1" applyAlignment="1">
      <alignment/>
    </xf>
    <xf numFmtId="49" fontId="7" fillId="7" borderId="0" xfId="0" applyNumberFormat="1" applyFont="1" applyFill="1" applyAlignment="1">
      <alignment/>
    </xf>
    <xf numFmtId="37" fontId="0" fillId="0" borderId="6" xfId="0" applyNumberFormat="1" applyFont="1" applyFill="1" applyBorder="1" applyAlignment="1">
      <alignment/>
    </xf>
    <xf numFmtId="37" fontId="0" fillId="0" borderId="6" xfId="0" applyNumberFormat="1" applyFill="1" applyBorder="1" applyAlignment="1">
      <alignment/>
    </xf>
    <xf numFmtId="10" fontId="0" fillId="0" borderId="0" xfId="0" applyNumberFormat="1" applyFill="1" applyAlignment="1">
      <alignment/>
    </xf>
    <xf numFmtId="4" fontId="1" fillId="7" borderId="0" xfId="0" applyNumberFormat="1" applyFont="1" applyFill="1" applyAlignment="1">
      <alignment/>
    </xf>
    <xf numFmtId="4" fontId="1" fillId="0" borderId="0" xfId="0" applyNumberFormat="1" applyFont="1" applyFill="1" applyAlignment="1">
      <alignment/>
    </xf>
    <xf numFmtId="0" fontId="1" fillId="7" borderId="0" xfId="0" applyFont="1" applyFill="1" applyAlignment="1">
      <alignment/>
    </xf>
    <xf numFmtId="49" fontId="7" fillId="0" borderId="0" xfId="0" applyNumberFormat="1" applyFont="1" applyFill="1" applyBorder="1" applyAlignment="1">
      <alignment/>
    </xf>
    <xf numFmtId="49" fontId="7" fillId="7" borderId="0" xfId="0" applyNumberFormat="1" applyFont="1" applyFill="1" applyBorder="1" applyAlignment="1">
      <alignment/>
    </xf>
    <xf numFmtId="37" fontId="0" fillId="0" borderId="0" xfId="0" applyNumberFormat="1" applyAlignment="1">
      <alignment/>
    </xf>
    <xf numFmtId="10" fontId="0" fillId="0" borderId="0" xfId="0" applyNumberFormat="1" applyAlignment="1">
      <alignment/>
    </xf>
    <xf numFmtId="10" fontId="0" fillId="2" borderId="1" xfId="0" applyNumberFormat="1" applyFill="1" applyBorder="1" applyAlignment="1">
      <alignment/>
    </xf>
    <xf numFmtId="0" fontId="1" fillId="5" borderId="1" xfId="0" applyFont="1" applyFill="1" applyBorder="1" applyAlignment="1">
      <alignment/>
    </xf>
    <xf numFmtId="0" fontId="0" fillId="4" borderId="0" xfId="0" applyFill="1" applyAlignment="1">
      <alignment/>
    </xf>
    <xf numFmtId="0" fontId="0" fillId="3" borderId="1" xfId="0" applyFill="1" applyBorder="1" applyAlignment="1">
      <alignment/>
    </xf>
    <xf numFmtId="0" fontId="0" fillId="4" borderId="1" xfId="0" applyFill="1" applyBorder="1" applyAlignment="1">
      <alignment/>
    </xf>
    <xf numFmtId="0" fontId="1" fillId="0" borderId="0" xfId="0" applyFont="1" applyBorder="1" applyAlignment="1">
      <alignment/>
    </xf>
    <xf numFmtId="0" fontId="1" fillId="0" borderId="0" xfId="0" applyFont="1" applyAlignment="1">
      <alignment wrapText="1"/>
    </xf>
    <xf numFmtId="184" fontId="0" fillId="0" borderId="0" xfId="18" applyNumberFormat="1" applyAlignment="1">
      <alignment/>
    </xf>
    <xf numFmtId="184" fontId="0" fillId="4" borderId="1" xfId="0" applyNumberFormat="1" applyFill="1" applyBorder="1" applyAlignment="1">
      <alignment/>
    </xf>
    <xf numFmtId="0" fontId="1" fillId="0" borderId="0" xfId="0" applyFont="1" applyAlignment="1">
      <alignment vertical="top"/>
    </xf>
    <xf numFmtId="0" fontId="0" fillId="0" borderId="0" xfId="0" applyAlignment="1">
      <alignment vertical="top" wrapText="1"/>
    </xf>
    <xf numFmtId="184" fontId="0" fillId="3" borderId="1" xfId="18" applyNumberFormat="1" applyFill="1" applyBorder="1" applyAlignment="1">
      <alignment/>
    </xf>
    <xf numFmtId="186" fontId="0" fillId="0" borderId="0" xfId="0" applyNumberFormat="1" applyAlignment="1">
      <alignment/>
    </xf>
    <xf numFmtId="43" fontId="0" fillId="4" borderId="1" xfId="0" applyNumberFormat="1" applyFill="1" applyBorder="1" applyAlignment="1">
      <alignment/>
    </xf>
    <xf numFmtId="0" fontId="1" fillId="0" borderId="0" xfId="0" applyFont="1" applyFill="1" applyBorder="1" applyAlignment="1">
      <alignment wrapText="1"/>
    </xf>
    <xf numFmtId="0" fontId="0" fillId="0" borderId="0" xfId="0" applyFill="1" applyBorder="1" applyAlignment="1">
      <alignment/>
    </xf>
    <xf numFmtId="10" fontId="0" fillId="0" borderId="0" xfId="0" applyNumberFormat="1" applyFill="1" applyBorder="1" applyAlignment="1">
      <alignment/>
    </xf>
    <xf numFmtId="186" fontId="0" fillId="0" borderId="0" xfId="0" applyNumberFormat="1" applyFill="1" applyAlignment="1">
      <alignment/>
    </xf>
    <xf numFmtId="0" fontId="22" fillId="0" borderId="1" xfId="0" applyFont="1" applyFill="1" applyBorder="1" applyAlignment="1">
      <alignment horizontal="center" vertical="center"/>
    </xf>
    <xf numFmtId="9" fontId="13" fillId="4" borderId="1" xfId="23" applyFont="1" applyFill="1" applyBorder="1" applyAlignment="1">
      <alignment/>
    </xf>
    <xf numFmtId="0" fontId="23" fillId="0" borderId="0" xfId="0" applyFont="1" applyAlignment="1">
      <alignment/>
    </xf>
    <xf numFmtId="184" fontId="1" fillId="3" borderId="1" xfId="18" applyNumberFormat="1" applyFont="1" applyFill="1" applyBorder="1" applyAlignment="1">
      <alignment/>
    </xf>
    <xf numFmtId="184" fontId="1" fillId="4" borderId="1" xfId="0" applyNumberFormat="1" applyFont="1" applyFill="1" applyBorder="1" applyAlignment="1">
      <alignment/>
    </xf>
    <xf numFmtId="0" fontId="0" fillId="0" borderId="0" xfId="0" applyBorder="1" applyAlignment="1">
      <alignment horizontal="center"/>
    </xf>
    <xf numFmtId="0" fontId="21" fillId="0" borderId="1" xfId="0" applyFont="1" applyBorder="1" applyAlignment="1">
      <alignment horizontal="center"/>
    </xf>
    <xf numFmtId="0" fontId="1" fillId="5" borderId="1" xfId="0" applyFont="1" applyFill="1" applyBorder="1" applyAlignment="1">
      <alignment horizontal="center" wrapText="1"/>
    </xf>
    <xf numFmtId="0" fontId="1" fillId="5" borderId="7" xfId="0" applyFont="1" applyFill="1" applyBorder="1" applyAlignment="1">
      <alignment horizontal="center" wrapText="1"/>
    </xf>
    <xf numFmtId="0" fontId="21" fillId="0" borderId="1" xfId="0" applyFont="1" applyBorder="1" applyAlignment="1">
      <alignment/>
    </xf>
    <xf numFmtId="0" fontId="0" fillId="5" borderId="1" xfId="0" applyFill="1" applyBorder="1" applyAlignment="1">
      <alignment/>
    </xf>
    <xf numFmtId="184" fontId="0" fillId="9" borderId="1" xfId="0" applyNumberFormat="1" applyFill="1" applyBorder="1" applyAlignment="1">
      <alignment/>
    </xf>
    <xf numFmtId="184" fontId="1" fillId="9" borderId="1" xfId="0" applyNumberFormat="1" applyFont="1" applyFill="1" applyBorder="1" applyAlignment="1">
      <alignment/>
    </xf>
    <xf numFmtId="184" fontId="0" fillId="9" borderId="1" xfId="0" applyNumberFormat="1" applyFont="1" applyFill="1" applyBorder="1" applyAlignment="1">
      <alignment/>
    </xf>
    <xf numFmtId="166" fontId="9" fillId="0" borderId="1" xfId="0" applyNumberFormat="1" applyFont="1" applyFill="1" applyBorder="1" applyAlignment="1">
      <alignment horizontal="center" vertical="center" wrapText="1"/>
    </xf>
    <xf numFmtId="0" fontId="0" fillId="0" borderId="5" xfId="0" applyFont="1" applyFill="1" applyBorder="1" applyAlignment="1">
      <alignment vertical="center"/>
    </xf>
    <xf numFmtId="166" fontId="9" fillId="0" borderId="5" xfId="0" applyNumberFormat="1" applyFont="1" applyFill="1" applyBorder="1" applyAlignment="1">
      <alignment horizontal="center" vertical="center" wrapText="1"/>
    </xf>
    <xf numFmtId="167" fontId="9" fillId="0" borderId="5" xfId="0" applyNumberFormat="1" applyFon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0" fontId="9" fillId="0" borderId="5" xfId="0" applyFont="1" applyFill="1" applyBorder="1" applyAlignment="1">
      <alignment horizontal="justify" vertical="center" wrapText="1"/>
    </xf>
    <xf numFmtId="0" fontId="0" fillId="6" borderId="5" xfId="0" applyFont="1" applyFill="1" applyBorder="1" applyAlignment="1">
      <alignment horizontal="justify" vertical="center" wrapText="1"/>
    </xf>
    <xf numFmtId="167" fontId="9"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Border="1" applyAlignment="1">
      <alignment horizontal="center"/>
    </xf>
    <xf numFmtId="0" fontId="1" fillId="0" borderId="1" xfId="0" applyFont="1" applyBorder="1" applyAlignment="1">
      <alignment horizontal="center"/>
    </xf>
    <xf numFmtId="0" fontId="0" fillId="6" borderId="5" xfId="0" applyFill="1" applyBorder="1" applyAlignment="1">
      <alignment/>
    </xf>
    <xf numFmtId="0" fontId="0" fillId="6" borderId="7" xfId="0" applyFill="1" applyBorder="1" applyAlignment="1">
      <alignment/>
    </xf>
    <xf numFmtId="0" fontId="0" fillId="6" borderId="2" xfId="0" applyFill="1" applyBorder="1" applyAlignment="1">
      <alignment/>
    </xf>
    <xf numFmtId="184" fontId="0" fillId="0" borderId="1" xfId="18" applyNumberFormat="1" applyBorder="1" applyAlignment="1">
      <alignment horizontal="center"/>
    </xf>
    <xf numFmtId="184" fontId="0" fillId="0" borderId="1" xfId="18" applyNumberFormat="1" applyFont="1" applyBorder="1" applyAlignment="1">
      <alignment horizontal="center"/>
    </xf>
    <xf numFmtId="184" fontId="1" fillId="0" borderId="1" xfId="18" applyNumberFormat="1" applyFont="1" applyBorder="1" applyAlignment="1">
      <alignment horizontal="center"/>
    </xf>
    <xf numFmtId="184" fontId="0" fillId="0" borderId="0" xfId="18" applyNumberFormat="1" applyAlignment="1">
      <alignment horizontal="center"/>
    </xf>
    <xf numFmtId="184" fontId="0" fillId="0" borderId="0" xfId="18" applyNumberFormat="1" applyFont="1" applyAlignment="1">
      <alignment horizontal="center"/>
    </xf>
    <xf numFmtId="186" fontId="0" fillId="2" borderId="1" xfId="16" applyNumberFormat="1" applyFill="1" applyBorder="1" applyAlignment="1">
      <alignment/>
    </xf>
    <xf numFmtId="183" fontId="0" fillId="0" borderId="1" xfId="18" applyNumberFormat="1" applyBorder="1" applyAlignment="1">
      <alignment horizontal="center"/>
    </xf>
    <xf numFmtId="183" fontId="0" fillId="0" borderId="1" xfId="18" applyNumberFormat="1" applyFont="1" applyBorder="1" applyAlignment="1">
      <alignment horizontal="center"/>
    </xf>
    <xf numFmtId="183" fontId="1" fillId="0" borderId="1" xfId="18" applyNumberFormat="1" applyFont="1" applyBorder="1" applyAlignment="1">
      <alignment horizontal="center"/>
    </xf>
    <xf numFmtId="184" fontId="0" fillId="3" borderId="1" xfId="18" applyNumberFormat="1" applyFont="1" applyFill="1" applyBorder="1" applyAlignment="1">
      <alignment/>
    </xf>
    <xf numFmtId="0" fontId="1" fillId="0" borderId="1" xfId="0" applyFont="1" applyBorder="1" applyAlignment="1">
      <alignment horizontal="center" wrapText="1"/>
    </xf>
    <xf numFmtId="0" fontId="24" fillId="0" borderId="0" xfId="0" applyFont="1" applyAlignment="1">
      <alignment/>
    </xf>
    <xf numFmtId="184" fontId="0" fillId="0" borderId="1" xfId="18" applyNumberFormat="1" applyBorder="1" applyAlignment="1">
      <alignment/>
    </xf>
    <xf numFmtId="184" fontId="1" fillId="0" borderId="1" xfId="18" applyNumberFormat="1" applyFont="1" applyBorder="1" applyAlignment="1">
      <alignment/>
    </xf>
    <xf numFmtId="0" fontId="1" fillId="5" borderId="1" xfId="0" applyFont="1" applyFill="1" applyBorder="1" applyAlignment="1">
      <alignment horizontal="center"/>
    </xf>
    <xf numFmtId="0" fontId="21" fillId="0" borderId="8" xfId="0" applyFont="1"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1" fillId="0" borderId="8" xfId="0" applyFont="1" applyBorder="1" applyAlignment="1">
      <alignment horizontal="center"/>
    </xf>
    <xf numFmtId="0" fontId="1" fillId="5" borderId="10" xfId="0" applyFont="1" applyFill="1" applyBorder="1" applyAlignment="1">
      <alignment horizontal="center"/>
    </xf>
    <xf numFmtId="0" fontId="0" fillId="0" borderId="11" xfId="0" applyBorder="1" applyAlignment="1">
      <alignment/>
    </xf>
    <xf numFmtId="0" fontId="0" fillId="0" borderId="12" xfId="0" applyBorder="1" applyAlignment="1">
      <alignment/>
    </xf>
  </cellXfs>
  <cellStyles count="10">
    <cellStyle name="Normal" xfId="0"/>
    <cellStyle name="=C:\WINNT40\SYSTEM32\COMMAND.COM_x0000_BOOKSHELF=C:\SQLLIB32\BOOK_x0000_COMPUTE" xfId="15"/>
    <cellStyle name="Comma" xfId="16"/>
    <cellStyle name="Comma [0]" xfId="17"/>
    <cellStyle name="Currency" xfId="18"/>
    <cellStyle name="Currency [0]" xfId="19"/>
    <cellStyle name="Followed Hyperlink" xfId="20"/>
    <cellStyle name="Hyperlink" xfId="21"/>
    <cellStyle name="Normal_Base Plan Funding Summary 62906 rev-cc"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2"/>
      <sheetName val="Branch_Xfr"/>
      <sheetName val="Device"/>
      <sheetName val="Graph"/>
      <sheetName val="2007Q1 Potential Base Plan List"/>
      <sheetName val="2006 Apprv Base Plan List"/>
      <sheetName val="For Presentation"/>
      <sheetName val="Sheet1"/>
      <sheetName val="Sheet2"/>
      <sheetName val="Sheet3"/>
      <sheetName val="ORIGNAL List"/>
    </sheetNames>
    <sheetDataSet>
      <sheetData sheetId="10">
        <row r="2">
          <cell r="A2" t="str">
            <v>Device - Marksville</v>
          </cell>
          <cell r="B2" t="str">
            <v>CLEC</v>
          </cell>
          <cell r="C2" t="str">
            <v>PL</v>
          </cell>
          <cell r="D2" t="str">
            <v>7</v>
          </cell>
          <cell r="E2">
            <v>37987</v>
          </cell>
          <cell r="F2" t="str">
            <v/>
          </cell>
          <cell r="G2">
            <v>200000</v>
          </cell>
          <cell r="H2" t="str">
            <v>Adding a 22 Mvar capacitor bank at the Marksville Substation to improve the voltage under single contingency conditions.</v>
          </cell>
          <cell r="I2" t="str">
            <v/>
          </cell>
        </row>
        <row r="3">
          <cell r="A3" t="str">
            <v>Device - Wells</v>
          </cell>
          <cell r="B3" t="str">
            <v>CLEC</v>
          </cell>
          <cell r="C3" t="str">
            <v>OOC</v>
          </cell>
          <cell r="D3" t="str">
            <v>7</v>
          </cell>
          <cell r="E3">
            <v>38504</v>
          </cell>
          <cell r="F3" t="str">
            <v/>
          </cell>
          <cell r="G3">
            <v>0</v>
          </cell>
          <cell r="H3" t="str">
            <v>Reactor to limit flows on transformer</v>
          </cell>
          <cell r="I3" t="str">
            <v/>
          </cell>
        </row>
        <row r="4">
          <cell r="A4" t="str">
            <v>Gen - Elk</v>
          </cell>
          <cell r="B4" t="str">
            <v>CLEC</v>
          </cell>
          <cell r="C4" t="str">
            <v>OOC</v>
          </cell>
          <cell r="D4" t="str">
            <v>9</v>
          </cell>
          <cell r="E4">
            <v>38869</v>
          </cell>
          <cell r="F4" t="str">
            <v/>
          </cell>
          <cell r="G4" t="str">
            <v/>
          </cell>
          <cell r="H4" t="str">
            <v>CTs</v>
          </cell>
          <cell r="I4" t="str">
            <v/>
          </cell>
        </row>
        <row r="5">
          <cell r="A5" t="str">
            <v>Line - Many - Fisher 138 kV</v>
          </cell>
          <cell r="B5" t="str">
            <v>CLEC</v>
          </cell>
          <cell r="C5" t="str">
            <v>PL</v>
          </cell>
          <cell r="D5" t="str">
            <v>7</v>
          </cell>
          <cell r="E5">
            <v>37925</v>
          </cell>
          <cell r="F5" t="str">
            <v/>
          </cell>
          <cell r="G5">
            <v>300000</v>
          </cell>
          <cell r="H5" t="str">
            <v>Reconductor an existing line with 795 Drake conductor</v>
          </cell>
          <cell r="I5" t="str">
            <v/>
          </cell>
        </row>
        <row r="6">
          <cell r="A6" t="str">
            <v>XFR - Wells Substation 500/230 kV</v>
          </cell>
          <cell r="B6" t="str">
            <v>CLEC</v>
          </cell>
          <cell r="C6" t="str">
            <v>OOC</v>
          </cell>
          <cell r="D6" t="str">
            <v>7</v>
          </cell>
          <cell r="E6">
            <v>38499</v>
          </cell>
          <cell r="F6" t="str">
            <v/>
          </cell>
          <cell r="G6">
            <v>25000000</v>
          </cell>
          <cell r="H6" t="str">
            <v>CLEC/EES Wells Substation </v>
          </cell>
          <cell r="I6" t="str">
            <v/>
          </cell>
        </row>
        <row r="7">
          <cell r="A7" t="str">
            <v>Line - Bonin - St George 69 kV</v>
          </cell>
          <cell r="B7" t="str">
            <v>LAFA</v>
          </cell>
          <cell r="C7" t="str">
            <v>PL</v>
          </cell>
          <cell r="D7" t="str">
            <v>7</v>
          </cell>
          <cell r="E7">
            <v>38352</v>
          </cell>
          <cell r="F7" t="str">
            <v/>
          </cell>
          <cell r="G7">
            <v>700000</v>
          </cell>
          <cell r="H7" t="str">
            <v>Reconductoring</v>
          </cell>
          <cell r="I7" t="str">
            <v/>
          </cell>
        </row>
        <row r="8">
          <cell r="A8" t="str">
            <v>Gen - Renauld</v>
          </cell>
          <cell r="B8" t="str">
            <v>LEPA</v>
          </cell>
          <cell r="C8" t="str">
            <v>OOC</v>
          </cell>
          <cell r="D8" t="str">
            <v>9</v>
          </cell>
          <cell r="E8">
            <v>38504</v>
          </cell>
          <cell r="F8" t="str">
            <v/>
          </cell>
          <cell r="G8" t="str">
            <v/>
          </cell>
          <cell r="H8" t="str">
            <v>CTs</v>
          </cell>
          <cell r="I8" t="str">
            <v/>
          </cell>
        </row>
        <row r="9">
          <cell r="A9" t="str">
            <v>Line - Idalia - Asherville 161 kV</v>
          </cell>
          <cell r="B9" t="str">
            <v>SWPA</v>
          </cell>
          <cell r="C9" t="str">
            <v>X</v>
          </cell>
          <cell r="D9" t="str">
            <v>7</v>
          </cell>
          <cell r="E9">
            <v>39965</v>
          </cell>
          <cell r="F9">
            <v>39965</v>
          </cell>
          <cell r="G9">
            <v>4400000</v>
          </cell>
          <cell r="H9" t="str">
            <v>Remove wave traps at Idalia and Asherville. Reconductor Idalia-Asherville line.</v>
          </cell>
          <cell r="I9" t="str">
            <v>To address overload of Idalia-Ashererville in 2010 for loss of 5HARVELE to 5GRNFRT</v>
          </cell>
        </row>
        <row r="10">
          <cell r="A10" t="str">
            <v>Line - SPA Hilltop - EES Hilltop 161 kV</v>
          </cell>
          <cell r="B10" t="str">
            <v>SWPA</v>
          </cell>
          <cell r="C10" t="str">
            <v>OOC</v>
          </cell>
          <cell r="D10" t="str">
            <v>7</v>
          </cell>
          <cell r="E10">
            <v>39082</v>
          </cell>
          <cell r="F10" t="str">
            <v/>
          </cell>
          <cell r="G10">
            <v>5300000</v>
          </cell>
          <cell r="H10" t="str">
            <v>Interconnection with EES</v>
          </cell>
          <cell r="I10" t="str">
            <v/>
          </cell>
        </row>
        <row r="11">
          <cell r="A11" t="str">
            <v>Line - Springfield - Brookline 161 kV</v>
          </cell>
          <cell r="B11" t="str">
            <v>SWPA</v>
          </cell>
          <cell r="C11" t="str">
            <v>X</v>
          </cell>
          <cell r="D11" t="str">
            <v>7</v>
          </cell>
          <cell r="E11">
            <v>39600</v>
          </cell>
          <cell r="F11">
            <v>39600</v>
          </cell>
          <cell r="G11">
            <v>640000</v>
          </cell>
          <cell r="H11" t="str">
            <v>Upgrade the main and transfer buses and bus work within bay at Springfield to 1600 amps($250,00). Replace disconnect switches at Springfield.Reconductor 2 miles 161 kV line $390,000 1272 ACSR</v>
          </cell>
          <cell r="I11" t="str">
            <v>To address overloads of Springfield-Brookline for loss of facilities around Southwest Disposal</v>
          </cell>
        </row>
        <row r="12">
          <cell r="A12" t="str">
            <v>Line - Springfield 161/69 kV</v>
          </cell>
          <cell r="B12" t="str">
            <v>SWPA</v>
          </cell>
          <cell r="C12" t="str">
            <v>X</v>
          </cell>
          <cell r="D12" t="str">
            <v>1</v>
          </cell>
          <cell r="E12">
            <v>38625</v>
          </cell>
          <cell r="F12">
            <v>38504</v>
          </cell>
          <cell r="G12">
            <v>700000</v>
          </cell>
          <cell r="H12" t="str">
            <v>Replace transformer</v>
          </cell>
          <cell r="I12" t="str">
            <v>To address overloads of Springfield transformer with the loss of second transformer</v>
          </cell>
        </row>
        <row r="13">
          <cell r="A13" t="str">
            <v>XFR - Norfork 161/69 kV</v>
          </cell>
          <cell r="B13" t="str">
            <v>SWPA</v>
          </cell>
          <cell r="C13" t="str">
            <v>X</v>
          </cell>
          <cell r="D13" t="str">
            <v>2b</v>
          </cell>
          <cell r="E13">
            <v>39234</v>
          </cell>
          <cell r="F13">
            <v>38869</v>
          </cell>
          <cell r="G13">
            <v>1300000</v>
          </cell>
          <cell r="H13" t="str">
            <v>Replace transformer with rebuilt 37 MVA XF</v>
          </cell>
          <cell r="I13" t="str">
            <v>To address Northfork transformer overload for outage of Northfork - Viola 69 kV</v>
          </cell>
        </row>
        <row r="14">
          <cell r="A14" t="str">
            <v>Device - Arsenal Hill</v>
          </cell>
          <cell r="B14" t="str">
            <v>AEPW</v>
          </cell>
          <cell r="C14" t="str">
            <v>OOC</v>
          </cell>
          <cell r="D14" t="str">
            <v>6a</v>
          </cell>
          <cell r="E14">
            <v>38869</v>
          </cell>
          <cell r="F14" t="str">
            <v/>
          </cell>
          <cell r="G14">
            <v>432000</v>
          </cell>
          <cell r="H14" t="str">
            <v>Install switched capacitor bank</v>
          </cell>
          <cell r="I14" t="str">
            <v>Reliability</v>
          </cell>
        </row>
        <row r="15">
          <cell r="A15" t="str">
            <v>Device - Catoosa</v>
          </cell>
          <cell r="B15" t="str">
            <v>AEPW</v>
          </cell>
          <cell r="C15" t="str">
            <v>OOC</v>
          </cell>
          <cell r="D15" t="str">
            <v>6a</v>
          </cell>
          <cell r="E15">
            <v>38869</v>
          </cell>
          <cell r="F15" t="str">
            <v/>
          </cell>
          <cell r="G15">
            <v>394000</v>
          </cell>
          <cell r="H15" t="str">
            <v>Install switched capacitor bank</v>
          </cell>
          <cell r="I15" t="str">
            <v>Reliability</v>
          </cell>
        </row>
        <row r="16">
          <cell r="A16" t="str">
            <v>Device - Clarendon</v>
          </cell>
          <cell r="B16" t="str">
            <v>AEPW</v>
          </cell>
          <cell r="C16" t="str">
            <v>PL</v>
          </cell>
          <cell r="D16" t="str">
            <v>1</v>
          </cell>
          <cell r="E16">
            <v>38504</v>
          </cell>
          <cell r="F16">
            <v>38504</v>
          </cell>
          <cell r="G16">
            <v>550000</v>
          </cell>
          <cell r="H16" t="str">
            <v>Install switched cap</v>
          </cell>
          <cell r="I16" t="str">
            <v>Low  voltage  Jericho area( buses 54277,54276, ect) for outage Jericho 115/69 kV XF, or Jericho-Kirby 115 kV line</v>
          </cell>
        </row>
        <row r="17">
          <cell r="A17" t="str">
            <v>Device - Coweta</v>
          </cell>
          <cell r="B17" t="str">
            <v>AEPW</v>
          </cell>
          <cell r="C17" t="str">
            <v>X</v>
          </cell>
          <cell r="D17" t="str">
            <v>2b</v>
          </cell>
          <cell r="E17">
            <v>47119</v>
          </cell>
          <cell r="F17">
            <v>38869</v>
          </cell>
          <cell r="G17">
            <v>550000</v>
          </cell>
          <cell r="H17" t="str">
            <v>Install switched cap</v>
          </cell>
          <cell r="I17" t="str">
            <v>Low voltage at Coweta and Broken Arrow Water for an outage Tulsa SE transformer</v>
          </cell>
        </row>
        <row r="18">
          <cell r="A18" t="str">
            <v>Device - Memphis</v>
          </cell>
          <cell r="B18" t="str">
            <v>AEPW</v>
          </cell>
          <cell r="C18" t="str">
            <v>PL</v>
          </cell>
          <cell r="D18" t="str">
            <v>1</v>
          </cell>
          <cell r="E18">
            <v>38504</v>
          </cell>
          <cell r="F18">
            <v>38504</v>
          </cell>
          <cell r="G18">
            <v>550000</v>
          </cell>
          <cell r="H18" t="str">
            <v>Install switched cap</v>
          </cell>
          <cell r="I18" t="str">
            <v>Low  voltage  Jericho area( buses 54277,54276, ect) for outage Jericho 115/69 kV XF, or Jericho-Kirby 115 kV line</v>
          </cell>
        </row>
        <row r="19">
          <cell r="A19" t="str">
            <v>Device - Red Oak</v>
          </cell>
          <cell r="B19" t="str">
            <v>AEPW</v>
          </cell>
          <cell r="C19" t="str">
            <v>PL</v>
          </cell>
          <cell r="D19" t="str">
            <v>1</v>
          </cell>
          <cell r="E19">
            <v>38504</v>
          </cell>
          <cell r="F19" t="str">
            <v/>
          </cell>
          <cell r="G19">
            <v>565000</v>
          </cell>
          <cell r="H19" t="str">
            <v>Install switched cap</v>
          </cell>
          <cell r="I19" t="str">
            <v>Low voltage  for the loss of the Eufaula-Stigler Tap 138 kV line</v>
          </cell>
        </row>
        <row r="20">
          <cell r="A20" t="str">
            <v>Device - Waldron</v>
          </cell>
          <cell r="B20" t="str">
            <v>AEPW</v>
          </cell>
          <cell r="C20" t="str">
            <v>X</v>
          </cell>
          <cell r="D20" t="str">
            <v>1</v>
          </cell>
          <cell r="E20">
            <v>47119</v>
          </cell>
          <cell r="F20">
            <v>38504</v>
          </cell>
          <cell r="G20">
            <v>550000</v>
          </cell>
          <cell r="H20" t="str">
            <v>Install switched cap</v>
          </cell>
          <cell r="I20" t="str">
            <v>Low voltage at Waldron 69 kV bus for outage of 53126 Bonaza -55261 Bonaza 161 kV</v>
          </cell>
        </row>
        <row r="21">
          <cell r="A21" t="str">
            <v>Line - 53rd &amp; Garnett N. Tap - Tulsa Southeast 138 kV</v>
          </cell>
          <cell r="B21" t="str">
            <v>AEPW</v>
          </cell>
          <cell r="C21" t="str">
            <v>X</v>
          </cell>
          <cell r="D21" t="str">
            <v>2a</v>
          </cell>
          <cell r="E21">
            <v>39234</v>
          </cell>
          <cell r="F21">
            <v>38869</v>
          </cell>
          <cell r="G21">
            <v>63000</v>
          </cell>
          <cell r="H21" t="str">
            <v>Replace 3 switches</v>
          </cell>
          <cell r="I21" t="str">
            <v>53rd &amp; Garnett North Tap-Tulsa SE over load for an outage of Oneta- 12 ST. &amp; Lynn Lane</v>
          </cell>
        </row>
        <row r="22">
          <cell r="A22" t="str">
            <v>Line - Altus Junction - Ompa Altus Park 69 kV</v>
          </cell>
          <cell r="B22" t="str">
            <v>AEPW</v>
          </cell>
          <cell r="C22" t="str">
            <v>X</v>
          </cell>
          <cell r="D22" t="str">
            <v>2a</v>
          </cell>
          <cell r="E22">
            <v>40330</v>
          </cell>
          <cell r="F22">
            <v>40330</v>
          </cell>
          <cell r="G22">
            <v>100000</v>
          </cell>
          <cell r="H22" t="str">
            <v>Altus Junction replace jumpers &amp; wavetrap</v>
          </cell>
          <cell r="I22" t="str">
            <v>Altus Junction-OMPA Altus Park 69 kV overloads for an outage of Hobart Junction-Tamarac Tap</v>
          </cell>
        </row>
        <row r="23">
          <cell r="A23" t="str">
            <v>Line - Bann - Kings Highway 69 kV</v>
          </cell>
          <cell r="B23" t="str">
            <v>AEPW</v>
          </cell>
          <cell r="C23" t="str">
            <v>X</v>
          </cell>
          <cell r="D23" t="str">
            <v>2a</v>
          </cell>
          <cell r="E23">
            <v>38626</v>
          </cell>
          <cell r="F23">
            <v>39600</v>
          </cell>
          <cell r="G23">
            <v>50000</v>
          </cell>
          <cell r="H23" t="str">
            <v>Replace Switch in King Hwy substation</v>
          </cell>
          <cell r="I23" t="str">
            <v>Bann-Kings Highway 69 kV for loads for outage Bann-SE Texarkana 138 kV line</v>
          </cell>
        </row>
        <row r="24">
          <cell r="A24" t="str">
            <v>Line - Bartlesville SE - N.Bartlesville 138 kV</v>
          </cell>
          <cell r="B24" t="str">
            <v>AEPW</v>
          </cell>
          <cell r="C24" t="str">
            <v>AA</v>
          </cell>
          <cell r="D24" t="str">
            <v>4</v>
          </cell>
          <cell r="E24">
            <v>38473</v>
          </cell>
          <cell r="F24" t="str">
            <v/>
          </cell>
          <cell r="G24">
            <v>47000</v>
          </cell>
          <cell r="H24" t="str">
            <v>Replace Bartlesville SE wavetrap. New limits would be the 795 ACSR line conductor for the SP and BSE CT setting for the WP</v>
          </cell>
          <cell r="I24" t="str">
            <v>Attachment AA Upgrade</v>
          </cell>
        </row>
        <row r="25">
          <cell r="A25" t="str">
            <v>Line - Carthage REC - Carthage T 138 kV</v>
          </cell>
          <cell r="B25" t="str">
            <v>AEPW</v>
          </cell>
          <cell r="C25" t="str">
            <v>X</v>
          </cell>
          <cell r="D25" t="str">
            <v>2b</v>
          </cell>
          <cell r="E25">
            <v>38869</v>
          </cell>
          <cell r="F25">
            <v>39234</v>
          </cell>
          <cell r="G25">
            <v>690000</v>
          </cell>
          <cell r="H25" t="str">
            <v>Reconductor line with 1272 ACSR</v>
          </cell>
          <cell r="I25" t="str">
            <v>Carthage REC-Carthage overloads  for an outage Keatchie-Stonewall 138 kV </v>
          </cell>
        </row>
        <row r="26">
          <cell r="A26" t="str">
            <v>Line - Catoosa - Lynn Lane East 138 kV</v>
          </cell>
          <cell r="B26" t="str">
            <v>AEPW</v>
          </cell>
          <cell r="C26" t="str">
            <v>PL</v>
          </cell>
          <cell r="D26" t="str">
            <v>1</v>
          </cell>
          <cell r="E26">
            <v>38292</v>
          </cell>
          <cell r="F26" t="str">
            <v/>
          </cell>
          <cell r="G26">
            <v>0</v>
          </cell>
          <cell r="H26" t="str">
            <v>Strain bus and jumpers rerated at Catoosa</v>
          </cell>
          <cell r="I26" t="str">
            <v/>
          </cell>
        </row>
        <row r="27">
          <cell r="A27" t="str">
            <v>Line - Chamber Springs - Tontitown 345 kV</v>
          </cell>
          <cell r="B27" t="str">
            <v>AEPW</v>
          </cell>
          <cell r="C27" t="str">
            <v>X</v>
          </cell>
          <cell r="D27" t="str">
            <v>1</v>
          </cell>
          <cell r="E27">
            <v>39965</v>
          </cell>
          <cell r="F27">
            <v>38504</v>
          </cell>
          <cell r="G27">
            <v>14405000</v>
          </cell>
          <cell r="H27" t="str">
            <v>Install new 345 kV line , ROW and terminal equipment at Chamber Springs</v>
          </cell>
          <cell r="I27" t="str">
            <v>Flint Creek Gentry 161 kV line overloads normal rating . Flint Creek-Gentry 161,Gentry - E Centerton 161, Chamber Springs-Tontitown overload for an outage of Flint Creek to Tontitown 161 KV and other 161 contingencies</v>
          </cell>
        </row>
        <row r="28">
          <cell r="A28" t="str">
            <v>Line - Comanche Tap - OMPA Duncan 138 kV</v>
          </cell>
          <cell r="B28" t="str">
            <v>AEPW</v>
          </cell>
          <cell r="C28" t="str">
            <v>PL</v>
          </cell>
          <cell r="D28" t="str">
            <v>1</v>
          </cell>
          <cell r="E28">
            <v>38139</v>
          </cell>
          <cell r="F28" t="str">
            <v/>
          </cell>
          <cell r="G28">
            <v>50000</v>
          </cell>
          <cell r="H28" t="str">
            <v>Raise 4 to 5 structure</v>
          </cell>
          <cell r="I28" t="str">
            <v>Comanche tap to OMPA Duncan 138 kV line overloads for outage of  Cornville - Rush GT 138 kV line</v>
          </cell>
        </row>
        <row r="29">
          <cell r="A29" t="str">
            <v>Line - Cornville - Cornville Tap 138 kV</v>
          </cell>
          <cell r="B29" t="str">
            <v>AEPW</v>
          </cell>
          <cell r="C29" t="str">
            <v>AA</v>
          </cell>
          <cell r="D29" t="str">
            <v>4</v>
          </cell>
          <cell r="E29">
            <v>38443</v>
          </cell>
          <cell r="F29" t="str">
            <v/>
          </cell>
          <cell r="G29">
            <v>47000</v>
          </cell>
          <cell r="H29" t="str">
            <v>Replace the Cornville wavetrap.</v>
          </cell>
          <cell r="I29" t="str">
            <v>Attachment AA Upgrade</v>
          </cell>
        </row>
        <row r="30">
          <cell r="A30" t="str">
            <v>Line - Dyess - Elm Springs REC 161 kV</v>
          </cell>
          <cell r="B30" t="str">
            <v>AEPW</v>
          </cell>
          <cell r="C30" t="str">
            <v>X</v>
          </cell>
          <cell r="D30" t="str">
            <v>2b</v>
          </cell>
          <cell r="E30">
            <v>39965</v>
          </cell>
          <cell r="F30">
            <v>39600</v>
          </cell>
          <cell r="G30">
            <v>186000</v>
          </cell>
          <cell r="H30" t="str">
            <v>Replace Jumper, Switch, Breaker at Dyess and replace switch at Elm Springs</v>
          </cell>
          <cell r="I30" t="str">
            <v>Dyess-Elm Springs 161 line over loads for an outage of Dyess to Tontitown 161 kV</v>
          </cell>
        </row>
        <row r="31">
          <cell r="A31" t="str">
            <v>Line - Dyess - South Springdale 161 kV</v>
          </cell>
          <cell r="B31" t="str">
            <v>AEPW</v>
          </cell>
          <cell r="C31" t="str">
            <v>X</v>
          </cell>
          <cell r="D31" t="str">
            <v>1</v>
          </cell>
          <cell r="E31">
            <v>38504</v>
          </cell>
          <cell r="F31">
            <v>38504</v>
          </cell>
          <cell r="G31">
            <v>100000</v>
          </cell>
          <cell r="H31" t="str">
            <v>Replace Jumper and Switch at South Springdale</v>
          </cell>
          <cell r="I31" t="str">
            <v>Dyess to Springdale over loads equipment with new Tontitown 345/161 XF for outage of Chamber Springs to Farmington 161 kV</v>
          </cell>
        </row>
        <row r="32">
          <cell r="A32" t="str">
            <v>Line - Finney Tap - Port Robson 69kV</v>
          </cell>
          <cell r="B32" t="str">
            <v>AEPW</v>
          </cell>
          <cell r="C32" t="str">
            <v/>
          </cell>
          <cell r="D32" t="str">
            <v>99</v>
          </cell>
          <cell r="E32">
            <v>39082</v>
          </cell>
          <cell r="F32" t="str">
            <v/>
          </cell>
          <cell r="G32" t="str">
            <v/>
          </cell>
          <cell r="H32" t="str">
            <v>build a 138 kV radial line (operated at 69 kV) from Finney Tap to Port Robson</v>
          </cell>
          <cell r="I32" t="str">
            <v/>
          </cell>
        </row>
        <row r="33">
          <cell r="A33" t="str">
            <v>Line - Flint Creek - East Centerton 345 kV</v>
          </cell>
          <cell r="B33" t="str">
            <v>AEPW</v>
          </cell>
          <cell r="C33" t="str">
            <v>X</v>
          </cell>
          <cell r="D33" t="str">
            <v>2b</v>
          </cell>
          <cell r="E33">
            <v>40695</v>
          </cell>
          <cell r="F33">
            <v>40330</v>
          </cell>
          <cell r="G33">
            <v>23685000</v>
          </cell>
          <cell r="H33" t="str">
            <v>New 345 kV Line</v>
          </cell>
          <cell r="I33" t="str">
            <v>To address basecase overloads of Flint Creek - Gentry and N-1 overloads for loss of Tontitown-Lowell</v>
          </cell>
        </row>
        <row r="34">
          <cell r="A34" t="str">
            <v>Line - Forest Hills - Quitman 69 kV</v>
          </cell>
          <cell r="B34" t="str">
            <v>AEPW</v>
          </cell>
          <cell r="C34" t="str">
            <v>X</v>
          </cell>
          <cell r="D34" t="str">
            <v>2a</v>
          </cell>
          <cell r="E34">
            <v>47270</v>
          </cell>
          <cell r="F34">
            <v>39965</v>
          </cell>
          <cell r="G34">
            <v>100000</v>
          </cell>
          <cell r="H34" t="str">
            <v>Replace Bus &amp; reset relays at Quitman substation</v>
          </cell>
          <cell r="I34" t="str">
            <v>Forest Hills-Quitman 69 kV overloads for outage of  North Minneola 138/69 kV transformer</v>
          </cell>
        </row>
        <row r="35">
          <cell r="A35" t="str">
            <v>Line - Foss Tap - Clinton City 69 kV</v>
          </cell>
          <cell r="B35" t="str">
            <v>AEPW</v>
          </cell>
          <cell r="C35" t="str">
            <v>AG</v>
          </cell>
          <cell r="D35" t="str">
            <v>3</v>
          </cell>
          <cell r="E35">
            <v>40330</v>
          </cell>
          <cell r="F35" t="str">
            <v/>
          </cell>
          <cell r="G35">
            <v>10982</v>
          </cell>
          <cell r="H35" t="str">
            <v>Replace Clinton City \wavetrap</v>
          </cell>
          <cell r="I35" t="str">
            <v>Partial base plan funded. $10,982 base plan funded and $64,018 allocated to customer.</v>
          </cell>
        </row>
        <row r="36">
          <cell r="A36" t="str">
            <v>Line - Gregtton - Lake Lamond 69 kV</v>
          </cell>
          <cell r="B36" t="str">
            <v>AEPW</v>
          </cell>
          <cell r="C36" t="str">
            <v>X</v>
          </cell>
          <cell r="D36" t="str">
            <v>2b</v>
          </cell>
          <cell r="E36">
            <v>40695</v>
          </cell>
          <cell r="F36">
            <v>40330</v>
          </cell>
          <cell r="G36">
            <v>1496000</v>
          </cell>
          <cell r="H36" t="str">
            <v>Reconductor line with 1272 ACSR</v>
          </cell>
          <cell r="I36" t="str">
            <v>Gregton-Lake Lamond 69 kV overload for an outage of Diana-Perdue 138 kV</v>
          </cell>
        </row>
        <row r="37">
          <cell r="A37" t="str">
            <v>Line - Hart's Island - Port Robson 138 kV</v>
          </cell>
          <cell r="B37" t="str">
            <v>AEPW</v>
          </cell>
          <cell r="C37" t="str">
            <v>OOC</v>
          </cell>
          <cell r="D37" t="str">
            <v>2b</v>
          </cell>
          <cell r="E37">
            <v>39082</v>
          </cell>
          <cell r="F37" t="str">
            <v/>
          </cell>
          <cell r="G37">
            <v>16379600</v>
          </cell>
          <cell r="H37" t="str">
            <v>AEP is planning to build a new 1590 ACSR, 138 kV line, approximately 7 miles long, that will be radial (at least initially) from AEP's existing Hart's Island station in Shreveport, Louisiana.  The line will feed a new 138-12.5 kV station called "Port Robs</v>
          </cell>
          <cell r="I37" t="str">
            <v>To provide service to new load.</v>
          </cell>
        </row>
        <row r="38">
          <cell r="A38" t="str">
            <v>Line - Hedrick - Snyder 69 kV</v>
          </cell>
          <cell r="B38" t="str">
            <v>AEPW</v>
          </cell>
          <cell r="C38" t="str">
            <v>X</v>
          </cell>
          <cell r="D38" t="str">
            <v>1</v>
          </cell>
          <cell r="E38">
            <v>38504</v>
          </cell>
          <cell r="F38">
            <v>38504</v>
          </cell>
          <cell r="G38">
            <v>50000</v>
          </cell>
          <cell r="H38" t="str">
            <v>Replace wave trap</v>
          </cell>
          <cell r="I38" t="str">
            <v>Hedrick-Snyder 69 KV overload for outage of Hobart Jct-Tamar Tap 138 kV</v>
          </cell>
        </row>
        <row r="39">
          <cell r="A39" t="str">
            <v>Line - Hope - Fulton 115 kV</v>
          </cell>
          <cell r="B39" t="str">
            <v>AEPW</v>
          </cell>
          <cell r="C39" t="str">
            <v>X</v>
          </cell>
          <cell r="D39" t="str">
            <v>2a</v>
          </cell>
          <cell r="E39">
            <v>47274</v>
          </cell>
          <cell r="F39">
            <v>40334</v>
          </cell>
          <cell r="G39">
            <v>100000</v>
          </cell>
          <cell r="H39" t="str">
            <v>Replace conductor in  Hope Substation</v>
          </cell>
          <cell r="I39" t="str">
            <v>Fulton - Hope 161  over loads for base case and outage  Fort Smith-ANO and other contingencies</v>
          </cell>
        </row>
        <row r="40">
          <cell r="A40" t="str">
            <v>Line - Hugo PP - Valliant 138 kV</v>
          </cell>
          <cell r="B40" t="str">
            <v>AEPW</v>
          </cell>
          <cell r="C40" t="str">
            <v>AA</v>
          </cell>
          <cell r="D40" t="str">
            <v>4</v>
          </cell>
          <cell r="E40">
            <v>38473</v>
          </cell>
          <cell r="F40" t="str">
            <v/>
          </cell>
          <cell r="G40">
            <v>142000</v>
          </cell>
          <cell r="H40" t="str">
            <v>Replace switches at Valliant. New limits would be the WFEC conductor at 315 mva. </v>
          </cell>
          <cell r="I40" t="str">
            <v>Attachment AA Upgrade</v>
          </cell>
        </row>
        <row r="41">
          <cell r="A41" t="str">
            <v>Line - IPC Jefferson - Lieberman 138 kV</v>
          </cell>
          <cell r="B41" t="str">
            <v>AEPW</v>
          </cell>
          <cell r="C41" t="str">
            <v>PL</v>
          </cell>
          <cell r="D41" t="str">
            <v>1</v>
          </cell>
          <cell r="E41">
            <v>38473</v>
          </cell>
          <cell r="F41" t="str">
            <v/>
          </cell>
          <cell r="G41">
            <v>4936000</v>
          </cell>
          <cell r="H41" t="str">
            <v>Rebuild 138 kV Line</v>
          </cell>
          <cell r="I41" t="str">
            <v>Transmission Service</v>
          </cell>
        </row>
        <row r="42">
          <cell r="A42" t="str">
            <v>Line - Knox Lee - Cherokee 138 kV</v>
          </cell>
          <cell r="B42" t="str">
            <v>AEPW</v>
          </cell>
          <cell r="C42" t="str">
            <v>PL</v>
          </cell>
          <cell r="D42" t="str">
            <v>1</v>
          </cell>
          <cell r="E42">
            <v>38485</v>
          </cell>
          <cell r="F42" t="str">
            <v/>
          </cell>
          <cell r="G42">
            <v>309000</v>
          </cell>
          <cell r="H42" t="str">
            <v>Rebuild 138 kV Line</v>
          </cell>
          <cell r="I42" t="str">
            <v>Transmission Service</v>
          </cell>
        </row>
        <row r="43">
          <cell r="A43" t="str">
            <v>Line - Knox Lee - Oak Hill #2 138 kV</v>
          </cell>
          <cell r="B43" t="str">
            <v>AEPW</v>
          </cell>
          <cell r="C43" t="str">
            <v>X</v>
          </cell>
          <cell r="D43" t="str">
            <v>2a</v>
          </cell>
          <cell r="E43">
            <v>39234</v>
          </cell>
          <cell r="F43">
            <v>38869</v>
          </cell>
          <cell r="G43">
            <v>100000</v>
          </cell>
          <cell r="H43" t="str">
            <v>Replace relay, wave trap at Knoxlee </v>
          </cell>
          <cell r="I43" t="str">
            <v>Knoxlee-Oak Hill #2 over loads for an outage of Knox Lee-Monroe Corners Rec</v>
          </cell>
        </row>
        <row r="44">
          <cell r="A44" t="str">
            <v>Line - Lone Star South - Pittsburg 138 kV</v>
          </cell>
          <cell r="B44" t="str">
            <v>AEPW</v>
          </cell>
          <cell r="C44" t="str">
            <v>X</v>
          </cell>
          <cell r="D44" t="str">
            <v>2a</v>
          </cell>
          <cell r="E44">
            <v>38352</v>
          </cell>
          <cell r="F44">
            <v>38869</v>
          </cell>
          <cell r="G44">
            <v>50000</v>
          </cell>
          <cell r="H44" t="str">
            <v>Replace CT</v>
          </cell>
          <cell r="I44" t="str">
            <v>Lone Star South-Pittsburg 138 kV over load for an outage of Petty-Chapel Hill Rec 138</v>
          </cell>
        </row>
        <row r="45">
          <cell r="A45" t="str">
            <v>Line - Lone Star South - Wilkes 138 kV</v>
          </cell>
          <cell r="B45" t="str">
            <v>AEPW</v>
          </cell>
          <cell r="C45" t="str">
            <v>X</v>
          </cell>
          <cell r="D45" t="str">
            <v>2a</v>
          </cell>
          <cell r="E45">
            <v>38352</v>
          </cell>
          <cell r="F45">
            <v>39965</v>
          </cell>
          <cell r="G45">
            <v>50000</v>
          </cell>
          <cell r="H45" t="str">
            <v>Change CT Ratio</v>
          </cell>
          <cell r="I45" t="str">
            <v>Lone Star South-Wilkes 138 overload for outage of Wilkes- Welsh Rec 138 and other contingencies</v>
          </cell>
        </row>
        <row r="46">
          <cell r="A46" t="str">
            <v>Line - Lowell - Rogers 161 kV</v>
          </cell>
          <cell r="B46" t="str">
            <v>AEPW</v>
          </cell>
          <cell r="C46" t="str">
            <v>PL</v>
          </cell>
          <cell r="D46" t="str">
            <v>1</v>
          </cell>
          <cell r="E46">
            <v>38139</v>
          </cell>
          <cell r="F46" t="str">
            <v/>
          </cell>
          <cell r="G46">
            <v>4890000</v>
          </cell>
          <cell r="H46" t="str">
            <v>Convert line to 161 kV</v>
          </cell>
          <cell r="I46" t="str">
            <v/>
          </cell>
        </row>
        <row r="47">
          <cell r="A47" t="str">
            <v>Line - Muskogee - Clarksville 345 kV Rebuild</v>
          </cell>
          <cell r="B47" t="str">
            <v>AEPW</v>
          </cell>
          <cell r="C47" t="str">
            <v>AG</v>
          </cell>
          <cell r="D47" t="str">
            <v>3</v>
          </cell>
          <cell r="E47">
            <v>42156</v>
          </cell>
          <cell r="F47" t="str">
            <v/>
          </cell>
          <cell r="G47">
            <v>585714</v>
          </cell>
          <cell r="H47" t="str">
            <v>Rebuild 2.54 miles with 2-795 ACSR &amp; reset Clarksville CT, Replace Switches &amp; Breakers @ Clarksville.</v>
          </cell>
          <cell r="I47" t="str">
            <v>Partial base plan funded. $585,714 base plan funded and $3,414,286 allocated to customer.</v>
          </cell>
        </row>
        <row r="48">
          <cell r="A48" t="str">
            <v>Line - Oak Hill - NW Henderson 69 kV</v>
          </cell>
          <cell r="B48" t="str">
            <v>AEPW</v>
          </cell>
          <cell r="C48" t="str">
            <v>AG</v>
          </cell>
          <cell r="D48" t="str">
            <v>3</v>
          </cell>
          <cell r="E48">
            <v>39234</v>
          </cell>
          <cell r="F48" t="str">
            <v/>
          </cell>
          <cell r="G48">
            <v>0</v>
          </cell>
          <cell r="H48" t="str">
            <v>Replace wavetrap and reset CTs @ NW Henderson.</v>
          </cell>
          <cell r="I48" t="str">
            <v>Allocated to customer, no base plan funding</v>
          </cell>
        </row>
        <row r="49">
          <cell r="A49" t="str">
            <v>Line - Okmulgee - Explorer Okmulgee 138 kV</v>
          </cell>
          <cell r="B49" t="str">
            <v>AEPW</v>
          </cell>
          <cell r="C49" t="str">
            <v>PL</v>
          </cell>
          <cell r="D49" t="str">
            <v>1</v>
          </cell>
          <cell r="E49">
            <v>38139</v>
          </cell>
          <cell r="F49" t="str">
            <v/>
          </cell>
          <cell r="G49">
            <v>1327000</v>
          </cell>
          <cell r="H49" t="str">
            <v>Rebuild line</v>
          </cell>
          <cell r="I49" t="str">
            <v/>
          </cell>
        </row>
        <row r="50">
          <cell r="A50" t="str">
            <v>Line - Pittsburg - Winnsboro 138 kV</v>
          </cell>
          <cell r="B50" t="str">
            <v>AEPW</v>
          </cell>
          <cell r="C50" t="str">
            <v>PL</v>
          </cell>
          <cell r="D50" t="str">
            <v>2b</v>
          </cell>
          <cell r="E50">
            <v>38869</v>
          </cell>
          <cell r="F50" t="str">
            <v/>
          </cell>
          <cell r="G50">
            <v>9630000</v>
          </cell>
          <cell r="H50" t="str">
            <v>New 138 kV Line</v>
          </cell>
          <cell r="I50" t="str">
            <v>Various overloads and/or low voltages due to several different single contingencies</v>
          </cell>
        </row>
        <row r="51">
          <cell r="A51" t="str">
            <v>Line - Riverside - Explorer Okmulgee 138 kV</v>
          </cell>
          <cell r="B51" t="str">
            <v>AEPW</v>
          </cell>
          <cell r="C51" t="str">
            <v>PL</v>
          </cell>
          <cell r="D51" t="str">
            <v>1</v>
          </cell>
          <cell r="E51">
            <v>38139</v>
          </cell>
          <cell r="F51" t="str">
            <v/>
          </cell>
          <cell r="G51">
            <v>4473000</v>
          </cell>
          <cell r="H51" t="str">
            <v>Rebuild line</v>
          </cell>
          <cell r="I51" t="str">
            <v/>
          </cell>
        </row>
        <row r="52">
          <cell r="A52" t="str">
            <v>Line - Riverside Station - ORU West Tap 138 kV</v>
          </cell>
          <cell r="B52" t="str">
            <v>AEPW</v>
          </cell>
          <cell r="C52" t="str">
            <v>AG</v>
          </cell>
          <cell r="D52" t="str">
            <v>3</v>
          </cell>
          <cell r="E52">
            <v>40330</v>
          </cell>
          <cell r="F52" t="str">
            <v/>
          </cell>
          <cell r="G52">
            <v>1464</v>
          </cell>
          <cell r="H52" t="str">
            <v>Replace wavetrap jumpers @ Riverside</v>
          </cell>
          <cell r="I52" t="str">
            <v>Partial base plan funded. $1,464 base plan funded and $8,536 allocated to customer.</v>
          </cell>
        </row>
        <row r="53">
          <cell r="A53" t="str">
            <v>Line - Rock Hill - Carthage REC 138 kV</v>
          </cell>
          <cell r="B53" t="str">
            <v>AEPW</v>
          </cell>
          <cell r="C53" t="str">
            <v>X</v>
          </cell>
          <cell r="D53" t="str">
            <v>1</v>
          </cell>
          <cell r="E53">
            <v>38869</v>
          </cell>
          <cell r="F53">
            <v>38504</v>
          </cell>
          <cell r="G53">
            <v>2425000</v>
          </cell>
          <cell r="H53" t="str">
            <v>Reconductor with 1272 ACSR,  In Rock Hill sub Replace 755  ACSR and CT </v>
          </cell>
          <cell r="I53" t="str">
            <v>Rock Hill - Carthage Rec 138 kV over load for an outage of Keatchie-Stonewall 138 kV and other contingencies</v>
          </cell>
        </row>
        <row r="54">
          <cell r="A54" t="str">
            <v>Line - Rogers - East Rogers 161 kV</v>
          </cell>
          <cell r="B54" t="str">
            <v>AEPW</v>
          </cell>
          <cell r="C54" t="str">
            <v>PL</v>
          </cell>
          <cell r="D54" t="str">
            <v>1</v>
          </cell>
          <cell r="E54">
            <v>38139</v>
          </cell>
          <cell r="F54" t="str">
            <v/>
          </cell>
          <cell r="G54">
            <v>2902000</v>
          </cell>
          <cell r="H54" t="str">
            <v>New 161 kV Line</v>
          </cell>
          <cell r="I54" t="str">
            <v/>
          </cell>
        </row>
        <row r="55">
          <cell r="A55" t="str">
            <v>Line - SE Texarkana - Texarkana 69 kV</v>
          </cell>
          <cell r="B55" t="str">
            <v>AEPW</v>
          </cell>
          <cell r="C55" t="str">
            <v>X</v>
          </cell>
          <cell r="D55" t="str">
            <v>1</v>
          </cell>
          <cell r="E55">
            <v>39234</v>
          </cell>
          <cell r="F55">
            <v>38504</v>
          </cell>
          <cell r="G55">
            <v>100000</v>
          </cell>
          <cell r="H55" t="str">
            <v>Replace riser and jumper at Texarkana</v>
          </cell>
          <cell r="I55" t="str">
            <v>SE Texarkana-Texarkana 69 kV overloads for outage of Texarkana-Sugarhill 138 kV</v>
          </cell>
        </row>
        <row r="56">
          <cell r="A56" t="str">
            <v>Line - Siloam Springs - Chamber Springs 161 kV</v>
          </cell>
          <cell r="B56" t="str">
            <v>AEPW</v>
          </cell>
          <cell r="C56" t="str">
            <v>PL</v>
          </cell>
          <cell r="D56" t="str">
            <v>2b</v>
          </cell>
          <cell r="E56">
            <v>39203</v>
          </cell>
          <cell r="F56">
            <v>39234</v>
          </cell>
          <cell r="G56">
            <v>6627225</v>
          </cell>
          <cell r="H56" t="str">
            <v>New 161 line, Terminal equipment at Chamber Spring and Siloam Springs</v>
          </cell>
          <cell r="I56" t="str">
            <v>Flint Creek-Chamber Springs 161 kV and Flint Creek -Tontitown 161  kV overload for outage of Chamber Springs - Clarksville 345 kV</v>
          </cell>
        </row>
        <row r="57">
          <cell r="A57" t="str">
            <v>Line - Snyder - Altus Junction  138 kV Ckt 1</v>
          </cell>
          <cell r="B57" t="str">
            <v>AEPW</v>
          </cell>
          <cell r="C57" t="str">
            <v/>
          </cell>
          <cell r="D57" t="str">
            <v>99</v>
          </cell>
          <cell r="E57">
            <v>39600</v>
          </cell>
          <cell r="F57" t="str">
            <v/>
          </cell>
          <cell r="G57">
            <v>16760000</v>
          </cell>
          <cell r="H57" t="str">
            <v>Build new Snyder (54098) to Altus Jct (54103) 138 kV line</v>
          </cell>
          <cell r="I57" t="str">
            <v/>
          </cell>
        </row>
        <row r="58">
          <cell r="A58" t="str">
            <v>Line - South Shreveport - SW Shreveport 138 kV</v>
          </cell>
          <cell r="B58" t="str">
            <v>AEPW</v>
          </cell>
          <cell r="C58" t="str">
            <v>X</v>
          </cell>
          <cell r="D58" t="str">
            <v>2b</v>
          </cell>
          <cell r="E58">
            <v>39203</v>
          </cell>
          <cell r="F58">
            <v>40334</v>
          </cell>
          <cell r="G58">
            <v>130000</v>
          </cell>
          <cell r="H58" t="str">
            <v>Replace wavetrap at South Shreveport</v>
          </cell>
          <cell r="I58" t="str">
            <v>To address overloads due to loss of Southwest Shreveport-Western Electric-Stonewall </v>
          </cell>
        </row>
        <row r="59">
          <cell r="A59" t="str">
            <v>Line - Southwestern Station - Anadarko 138 kV</v>
          </cell>
          <cell r="B59" t="str">
            <v>AEPW</v>
          </cell>
          <cell r="C59" t="str">
            <v>AA</v>
          </cell>
          <cell r="D59" t="str">
            <v>4</v>
          </cell>
          <cell r="E59">
            <v>38574</v>
          </cell>
          <cell r="F59" t="str">
            <v/>
          </cell>
          <cell r="G59">
            <v>47000</v>
          </cell>
          <cell r="H59" t="str">
            <v>Replace Southwestern Station wavetrap &amp; Anardarko wavetrap</v>
          </cell>
          <cell r="I59" t="str">
            <v>Attachment AA Upgrade</v>
          </cell>
        </row>
        <row r="60">
          <cell r="A60" t="str">
            <v>Line - Tatum - Cherokee 138 kV</v>
          </cell>
          <cell r="B60" t="str">
            <v>AEPW</v>
          </cell>
          <cell r="C60" t="str">
            <v>PL</v>
          </cell>
          <cell r="D60" t="str">
            <v>1</v>
          </cell>
          <cell r="E60">
            <v>38485</v>
          </cell>
          <cell r="F60" t="str">
            <v/>
          </cell>
          <cell r="G60">
            <v>610000</v>
          </cell>
          <cell r="H60" t="str">
            <v>Rebuild 138 kV Line</v>
          </cell>
          <cell r="I60" t="str">
            <v>Transmission Service</v>
          </cell>
        </row>
        <row r="61">
          <cell r="A61" t="str">
            <v>Line - Tatum - Rock Hill 138 kV</v>
          </cell>
          <cell r="B61" t="str">
            <v>AEPW</v>
          </cell>
          <cell r="C61" t="str">
            <v>PL</v>
          </cell>
          <cell r="D61" t="str">
            <v>1</v>
          </cell>
          <cell r="E61">
            <v>38485</v>
          </cell>
          <cell r="F61" t="str">
            <v/>
          </cell>
          <cell r="G61">
            <v>620000</v>
          </cell>
          <cell r="H61" t="str">
            <v>Rebuild 138 kV Line</v>
          </cell>
          <cell r="I61" t="str">
            <v>Transmission Service</v>
          </cell>
        </row>
        <row r="62">
          <cell r="A62" t="str">
            <v>Line - Terra Nitrogen tap - Verdigris 138 kV</v>
          </cell>
          <cell r="B62" t="str">
            <v>AEPW</v>
          </cell>
          <cell r="C62" t="str">
            <v>X</v>
          </cell>
          <cell r="D62" t="str">
            <v>2b</v>
          </cell>
          <cell r="E62">
            <v>39965</v>
          </cell>
          <cell r="F62">
            <v>39965</v>
          </cell>
          <cell r="G62">
            <v>2150000</v>
          </cell>
          <cell r="H62" t="str">
            <v>Reconductor line with 795 26/7 ACSR</v>
          </cell>
          <cell r="I62" t="str">
            <v>Terra Nitrogen tap-Verdigris 138 kV overloads for an outage Owasso- Northeast Station 138 kV</v>
          </cell>
        </row>
        <row r="63">
          <cell r="A63" t="str">
            <v>Line - Tontitown - Dyess 161 kV</v>
          </cell>
          <cell r="B63" t="str">
            <v>AEPW</v>
          </cell>
          <cell r="C63" t="str">
            <v>PL</v>
          </cell>
          <cell r="D63" t="str">
            <v>1</v>
          </cell>
          <cell r="E63">
            <v>38078</v>
          </cell>
          <cell r="F63" t="str">
            <v/>
          </cell>
          <cell r="G63">
            <v>490000</v>
          </cell>
          <cell r="H63" t="str">
            <v>Rebuild 161 kV Line</v>
          </cell>
          <cell r="I63" t="str">
            <v/>
          </cell>
        </row>
        <row r="64">
          <cell r="A64" t="str">
            <v>Line - Tontitown - Elm Springs REC 161 kV</v>
          </cell>
          <cell r="B64" t="str">
            <v>AEPW</v>
          </cell>
          <cell r="C64" t="str">
            <v>X</v>
          </cell>
          <cell r="D64" t="str">
            <v>2b</v>
          </cell>
          <cell r="E64">
            <v>39203</v>
          </cell>
          <cell r="F64">
            <v>39203</v>
          </cell>
          <cell r="G64">
            <v>640000</v>
          </cell>
          <cell r="H64" t="str">
            <v>Rebuild line with 2-397 ACSR. Replace 1200 A switch 1045, and bus Elm Springs.</v>
          </cell>
          <cell r="I64" t="str">
            <v>Tontitown-Elm Spring 161 kV line overload for outage of Dyess-Tontitiown 161 kV</v>
          </cell>
        </row>
        <row r="65">
          <cell r="A65" t="str">
            <v>Line - Tontitown - Lowell 161 kV</v>
          </cell>
          <cell r="B65" t="str">
            <v>AEPW</v>
          </cell>
          <cell r="C65" t="str">
            <v>PL</v>
          </cell>
          <cell r="D65" t="str">
            <v>1</v>
          </cell>
          <cell r="E65">
            <v>38078</v>
          </cell>
          <cell r="F65" t="str">
            <v/>
          </cell>
          <cell r="G65">
            <v>7034000</v>
          </cell>
          <cell r="H65" t="str">
            <v>New 161 kV Line</v>
          </cell>
          <cell r="I65" t="str">
            <v/>
          </cell>
        </row>
        <row r="66">
          <cell r="A66" t="str">
            <v>Line - Valliant - Hugo Tap 138 kV</v>
          </cell>
          <cell r="B66" t="str">
            <v>AEPW</v>
          </cell>
          <cell r="C66" t="str">
            <v>AA</v>
          </cell>
          <cell r="D66" t="str">
            <v>4</v>
          </cell>
          <cell r="E66">
            <v>38473</v>
          </cell>
          <cell r="F66" t="str">
            <v/>
          </cell>
          <cell r="G66">
            <v>47000</v>
          </cell>
          <cell r="H66" t="str">
            <v>Replace wavetrap at Valliant.</v>
          </cell>
          <cell r="I66" t="str">
            <v>Attachment AA Upgrade</v>
          </cell>
        </row>
        <row r="67">
          <cell r="A67" t="str">
            <v>Line - Valliant - Lydia 345 kV</v>
          </cell>
          <cell r="B67" t="str">
            <v>AEPW</v>
          </cell>
          <cell r="C67" t="str">
            <v>AA</v>
          </cell>
          <cell r="D67" t="str">
            <v>4</v>
          </cell>
          <cell r="E67">
            <v>38473</v>
          </cell>
          <cell r="F67" t="str">
            <v/>
          </cell>
          <cell r="G67">
            <v>99000</v>
          </cell>
          <cell r="H67" t="str">
            <v>Replace switches and reset relays at Valliant.</v>
          </cell>
          <cell r="I67" t="str">
            <v>Attachment AA Upgrade</v>
          </cell>
        </row>
        <row r="68">
          <cell r="A68" t="str">
            <v>Line - Whitney 138/69 kV</v>
          </cell>
          <cell r="B68" t="str">
            <v>AEPW</v>
          </cell>
          <cell r="C68" t="str">
            <v>AG</v>
          </cell>
          <cell r="D68" t="str">
            <v>3</v>
          </cell>
          <cell r="E68">
            <v>39600</v>
          </cell>
          <cell r="F68" t="str">
            <v/>
          </cell>
          <cell r="G68">
            <v>0</v>
          </cell>
          <cell r="H68" t="str">
            <v>Move load from 69 kV to 138 kV</v>
          </cell>
          <cell r="I68" t="str">
            <v>No potential base plan funding. All allocated to customer.</v>
          </cell>
        </row>
        <row r="69">
          <cell r="A69" t="str">
            <v>Line - Winnsboro - North Minneola 138 kV</v>
          </cell>
          <cell r="B69" t="str">
            <v>AEPW</v>
          </cell>
          <cell r="C69" t="str">
            <v>X</v>
          </cell>
          <cell r="D69" t="str">
            <v>1</v>
          </cell>
          <cell r="E69">
            <v>39234</v>
          </cell>
          <cell r="F69">
            <v>38504</v>
          </cell>
          <cell r="G69">
            <v>9056000</v>
          </cell>
          <cell r="H69" t="str">
            <v>New 138 kV Line</v>
          </cell>
          <cell r="I69" t="str">
            <v>Magnolia-Winnsboro 69 kV, Magnolia- Forest Hill REC 69 kV,  and Forest Hill REC-Quitman for an outage of  N Minneola- Lake Hawkins 138 kV , for the outage of Lake Hawkins - Perdue 138. kV,Big Sandy-Perdue 69 kV over loads for outage Lake Hawkins-Perdue 13</v>
          </cell>
        </row>
        <row r="70">
          <cell r="A70" t="str">
            <v>Multi - Fayetteville 69 kV conversion</v>
          </cell>
          <cell r="B70" t="str">
            <v>AEPW</v>
          </cell>
          <cell r="C70" t="str">
            <v>X</v>
          </cell>
          <cell r="D70" t="str">
            <v>2b</v>
          </cell>
          <cell r="E70">
            <v>39600</v>
          </cell>
          <cell r="F70">
            <v>39234</v>
          </cell>
          <cell r="G70">
            <v>7940000</v>
          </cell>
          <cell r="H70" t="str">
            <v>Convert 69 KV line to 161 kV</v>
          </cell>
          <cell r="I70" t="str">
            <v>Dyess-S Springdale 161kv overloads conductor for outage of Chamber Springs-Farmington 161 kV</v>
          </cell>
        </row>
        <row r="71">
          <cell r="A71" t="str">
            <v>Multi - Tulsa Project</v>
          </cell>
          <cell r="B71" t="str">
            <v>AEPW</v>
          </cell>
          <cell r="C71" t="str">
            <v>OOC</v>
          </cell>
          <cell r="D71" t="str">
            <v>5a</v>
          </cell>
          <cell r="E71">
            <v>39234</v>
          </cell>
          <cell r="F71" t="str">
            <v/>
          </cell>
          <cell r="G71">
            <v>48000000</v>
          </cell>
          <cell r="H71" t="str">
            <v>Replace transformer at Riverside Station</v>
          </cell>
          <cell r="I71" t="str">
            <v>Reliability</v>
          </cell>
        </row>
        <row r="72">
          <cell r="A72" t="str">
            <v>XFR - Catoosa 138/69 kV</v>
          </cell>
          <cell r="B72" t="str">
            <v>AEPW</v>
          </cell>
          <cell r="C72" t="str">
            <v>PL</v>
          </cell>
          <cell r="D72" t="str">
            <v>1</v>
          </cell>
          <cell r="E72">
            <v>38504</v>
          </cell>
          <cell r="F72" t="str">
            <v/>
          </cell>
          <cell r="G72">
            <v>1274000</v>
          </cell>
          <cell r="H72" t="str">
            <v>Replace Auto</v>
          </cell>
          <cell r="I72" t="str">
            <v>Catasa  transformer over loads foe Dauson 138-69 kV auto checked overloads old rating</v>
          </cell>
        </row>
        <row r="73">
          <cell r="A73" t="str">
            <v>XFR - Crockett 345/138 kV</v>
          </cell>
          <cell r="B73" t="str">
            <v>AEPW</v>
          </cell>
          <cell r="C73" t="str">
            <v>AA</v>
          </cell>
          <cell r="D73" t="str">
            <v>1</v>
          </cell>
          <cell r="E73">
            <v>38412</v>
          </cell>
          <cell r="F73" t="str">
            <v/>
          </cell>
          <cell r="G73">
            <v>12000</v>
          </cell>
          <cell r="H73" t="str">
            <v>Reset metering CT</v>
          </cell>
          <cell r="I73" t="str">
            <v>Attachment AA Upgrade</v>
          </cell>
        </row>
        <row r="74">
          <cell r="A74" t="str">
            <v>XFR - East Centerton 345/161 kV</v>
          </cell>
          <cell r="B74" t="str">
            <v>AEPW</v>
          </cell>
          <cell r="C74" t="str">
            <v>X</v>
          </cell>
          <cell r="D74" t="str">
            <v>2b</v>
          </cell>
          <cell r="E74">
            <v>40695</v>
          </cell>
          <cell r="F74">
            <v>40330</v>
          </cell>
          <cell r="G74">
            <v>7425000</v>
          </cell>
          <cell r="H74" t="str">
            <v>New 345/161 kV Auto</v>
          </cell>
          <cell r="I74" t="str">
            <v>To address basecase overloads of Flint Creek - Gentry and N-1 overloads for loss of Tontitown-Lowell</v>
          </cell>
        </row>
        <row r="75">
          <cell r="A75" t="str">
            <v>XFR - Elk City 230/138 kV</v>
          </cell>
          <cell r="B75" t="str">
            <v>AEPW</v>
          </cell>
          <cell r="C75" t="str">
            <v>AA</v>
          </cell>
          <cell r="D75" t="str">
            <v>4</v>
          </cell>
          <cell r="E75">
            <v>38443</v>
          </cell>
          <cell r="F75" t="str">
            <v/>
          </cell>
          <cell r="G75">
            <v>80000</v>
          </cell>
          <cell r="H75" t="str">
            <v>Replace free standing metering CT.</v>
          </cell>
          <cell r="I75" t="str">
            <v>Attachment AA Upgrade</v>
          </cell>
        </row>
        <row r="76">
          <cell r="A76" t="str">
            <v>XFR - Tontitown 345/161 kV</v>
          </cell>
          <cell r="B76" t="str">
            <v>AEPW</v>
          </cell>
          <cell r="C76" t="str">
            <v>X</v>
          </cell>
          <cell r="D76" t="str">
            <v>1</v>
          </cell>
          <cell r="E76">
            <v>39203</v>
          </cell>
          <cell r="F76">
            <v>38504</v>
          </cell>
          <cell r="G76">
            <v>4278100</v>
          </cell>
          <cell r="H76" t="str">
            <v>Install new 345/161 kV Auto and install terminal equipment at Tontitown</v>
          </cell>
          <cell r="I76" t="str">
            <v>Flint Creek Gentry161 kV line overloads normal rating . Flint Creek-Gentry 161,Gentry - E Centerton 161, Chamber Springs-Tontitown overload for an outage of Flint Creek to Tontitown 161 KV and other 161 contingencies</v>
          </cell>
        </row>
        <row r="77">
          <cell r="A77" t="str">
            <v>XFR - Weleetka 138/69 kV</v>
          </cell>
          <cell r="B77" t="str">
            <v>AEPW</v>
          </cell>
          <cell r="C77" t="str">
            <v>PL</v>
          </cell>
          <cell r="D77" t="str">
            <v>1</v>
          </cell>
          <cell r="E77">
            <v>38473</v>
          </cell>
          <cell r="F77" t="str">
            <v/>
          </cell>
          <cell r="G77">
            <v>990000</v>
          </cell>
          <cell r="H77" t="str">
            <v>Replace Auto</v>
          </cell>
          <cell r="I77" t="str">
            <v>Transmission Service</v>
          </cell>
        </row>
        <row r="78">
          <cell r="A78" t="str">
            <v>Device - Walmart</v>
          </cell>
          <cell r="B78" t="str">
            <v>GRDA</v>
          </cell>
          <cell r="C78" t="str">
            <v>PL</v>
          </cell>
          <cell r="D78" t="str">
            <v>1</v>
          </cell>
          <cell r="E78">
            <v>38307</v>
          </cell>
          <cell r="F78" t="str">
            <v/>
          </cell>
          <cell r="G78">
            <v>500000</v>
          </cell>
          <cell r="H78" t="str">
            <v>Voltage support</v>
          </cell>
          <cell r="I78" t="str">
            <v/>
          </cell>
        </row>
        <row r="79">
          <cell r="A79" t="str">
            <v>Line - 412 Sub - Kansas Tap 161 kV</v>
          </cell>
          <cell r="B79" t="str">
            <v>GRDA</v>
          </cell>
          <cell r="C79" t="str">
            <v>AG</v>
          </cell>
          <cell r="D79" t="str">
            <v>3</v>
          </cell>
          <cell r="E79">
            <v>42156</v>
          </cell>
          <cell r="F79" t="str">
            <v/>
          </cell>
          <cell r="G79">
            <v>2000000</v>
          </cell>
          <cell r="H79" t="str">
            <v>Reconductor 9.7 miles with 1590MCM ACSR.</v>
          </cell>
          <cell r="I79" t="str">
            <v>Potential full base plan funded</v>
          </cell>
        </row>
        <row r="80">
          <cell r="A80" t="str">
            <v>Line - Gray Tap - Zena Tap 69 kV</v>
          </cell>
          <cell r="B80" t="str">
            <v>GRDA</v>
          </cell>
          <cell r="C80" t="str">
            <v>PR/EXP</v>
          </cell>
          <cell r="D80" t="str">
            <v>9</v>
          </cell>
          <cell r="E80">
            <v>39232</v>
          </cell>
          <cell r="F80" t="str">
            <v/>
          </cell>
          <cell r="G80">
            <v>1600000</v>
          </cell>
          <cell r="H80" t="str">
            <v>Voltage support at Jay area</v>
          </cell>
          <cell r="I80" t="str">
            <v/>
          </cell>
        </row>
        <row r="81">
          <cell r="A81" t="str">
            <v>Line - Kerr - 412 Sub 161 kV</v>
          </cell>
          <cell r="B81" t="str">
            <v>GRDA</v>
          </cell>
          <cell r="C81" t="str">
            <v>AG</v>
          </cell>
          <cell r="D81" t="str">
            <v>3</v>
          </cell>
          <cell r="E81">
            <v>42156</v>
          </cell>
          <cell r="F81" t="str">
            <v/>
          </cell>
          <cell r="G81">
            <v>1918000</v>
          </cell>
          <cell r="H81" t="str">
            <v>Reconductor 12.5 miles with 1590MCM ACSR</v>
          </cell>
          <cell r="I81" t="str">
            <v>Potential full base plan funded</v>
          </cell>
        </row>
        <row r="82">
          <cell r="A82" t="str">
            <v>Line - Pensacola - Gray Tap 69 kV</v>
          </cell>
          <cell r="B82" t="str">
            <v>GRDA</v>
          </cell>
          <cell r="C82" t="str">
            <v>X</v>
          </cell>
          <cell r="D82" t="str">
            <v>1</v>
          </cell>
          <cell r="E82">
            <v>47119</v>
          </cell>
          <cell r="F82" t="str">
            <v/>
          </cell>
          <cell r="G82">
            <v>800000</v>
          </cell>
          <cell r="H82" t="str">
            <v>Rebuild of Pensacola - Jayline (not owned by GRDA -- have tried to convince owner)</v>
          </cell>
          <cell r="I82" t="str">
            <v>Pensacola - Gray Tap overload for Kansas Tap - Kansas 161 kV Outage</v>
          </cell>
        </row>
        <row r="83">
          <cell r="A83" t="str">
            <v>Line - Tahlequah - Stilwell 161 kV</v>
          </cell>
          <cell r="B83" t="str">
            <v>GRDA</v>
          </cell>
          <cell r="C83" t="str">
            <v>PL</v>
          </cell>
          <cell r="D83" t="str">
            <v>6a</v>
          </cell>
          <cell r="E83">
            <v>38502</v>
          </cell>
          <cell r="F83" t="str">
            <v/>
          </cell>
          <cell r="G83">
            <v>4800000</v>
          </cell>
          <cell r="H83" t="str">
            <v>Build new 161kV line from Tahlequah to Stilwell</v>
          </cell>
          <cell r="I83" t="str">
            <v>Transmission &amp; Voltage support at Stilwell</v>
          </cell>
        </row>
        <row r="84">
          <cell r="A84" t="str">
            <v>Line - Walmart - Ramona 69 kV</v>
          </cell>
          <cell r="B84" t="str">
            <v>GRDA</v>
          </cell>
          <cell r="C84" t="str">
            <v>PL</v>
          </cell>
          <cell r="D84" t="str">
            <v>1</v>
          </cell>
          <cell r="E84">
            <v>38307</v>
          </cell>
          <cell r="F84" t="str">
            <v/>
          </cell>
          <cell r="G84">
            <v>1100000</v>
          </cell>
          <cell r="H84" t="str">
            <v>Build new 69/13.8kV substation</v>
          </cell>
          <cell r="I84" t="str">
            <v>New customer near Bartlesville 7-8MW</v>
          </cell>
        </row>
        <row r="85">
          <cell r="A85" t="str">
            <v>Line - Walmart Tap - Walmart 69 kV</v>
          </cell>
          <cell r="B85" t="str">
            <v>GRDA</v>
          </cell>
          <cell r="C85" t="str">
            <v>PL</v>
          </cell>
          <cell r="D85" t="str">
            <v>1</v>
          </cell>
          <cell r="E85">
            <v>38307</v>
          </cell>
          <cell r="F85" t="str">
            <v/>
          </cell>
          <cell r="G85">
            <v>1100000</v>
          </cell>
          <cell r="H85" t="str">
            <v>Build new 69kV line </v>
          </cell>
          <cell r="I85" t="str">
            <v>New customer near Bartlesville 7-8MW</v>
          </cell>
        </row>
        <row r="86">
          <cell r="A86" t="str">
            <v>Line - Zena Tap - Jay 69 kV</v>
          </cell>
          <cell r="B86" t="str">
            <v>GRDA</v>
          </cell>
          <cell r="C86" t="str">
            <v>PR/EXP</v>
          </cell>
          <cell r="D86" t="str">
            <v>9</v>
          </cell>
          <cell r="E86">
            <v>39232</v>
          </cell>
          <cell r="F86" t="str">
            <v/>
          </cell>
          <cell r="G86">
            <v>500000</v>
          </cell>
          <cell r="H86" t="str">
            <v>Voltage support at Jay area</v>
          </cell>
          <cell r="I86" t="str">
            <v/>
          </cell>
        </row>
        <row r="87">
          <cell r="A87" t="str">
            <v>Multi - Barnsdahl - Tallant 138 kV &amp; Tallant 138/69 kV</v>
          </cell>
          <cell r="B87" t="str">
            <v>GRDA</v>
          </cell>
          <cell r="C87" t="str">
            <v>OOC</v>
          </cell>
          <cell r="D87" t="str">
            <v>2b</v>
          </cell>
          <cell r="E87">
            <v>38869</v>
          </cell>
          <cell r="F87" t="str">
            <v/>
          </cell>
          <cell r="G87">
            <v>1000000</v>
          </cell>
          <cell r="H87" t="str">
            <v>Interconnection with AECI</v>
          </cell>
          <cell r="I87" t="str">
            <v/>
          </cell>
        </row>
        <row r="88">
          <cell r="A88" t="str">
            <v>XFR - Claremore 161/69 kV</v>
          </cell>
          <cell r="B88" t="str">
            <v>GRDA</v>
          </cell>
          <cell r="C88" t="str">
            <v>PL</v>
          </cell>
          <cell r="D88" t="str">
            <v>6a</v>
          </cell>
          <cell r="E88">
            <v>41424</v>
          </cell>
          <cell r="F88" t="str">
            <v/>
          </cell>
          <cell r="G88">
            <v>1800000</v>
          </cell>
          <cell r="H88" t="str">
            <v>Install 3rd 161/69kV autotransformer at Claremore</v>
          </cell>
          <cell r="I88" t="str">
            <v>Increase capacity at Claremore</v>
          </cell>
        </row>
        <row r="89">
          <cell r="A89" t="str">
            <v>XFR - Kansas 161/69 kV</v>
          </cell>
          <cell r="B89" t="str">
            <v>GRDA</v>
          </cell>
          <cell r="C89" t="str">
            <v>PL</v>
          </cell>
          <cell r="D89" t="str">
            <v>6a</v>
          </cell>
          <cell r="E89">
            <v>40328</v>
          </cell>
          <cell r="F89" t="str">
            <v/>
          </cell>
          <cell r="G89">
            <v>1800000</v>
          </cell>
          <cell r="H89" t="str">
            <v>Install 2nd 161/69kV autotransformer at Kansas</v>
          </cell>
          <cell r="I89" t="str">
            <v>Voltage support in area near Kansas</v>
          </cell>
        </row>
        <row r="90">
          <cell r="A90" t="str">
            <v>XFR - Sallisaw 161/69 kV</v>
          </cell>
          <cell r="B90" t="str">
            <v>GRDA</v>
          </cell>
          <cell r="C90" t="str">
            <v>OOC</v>
          </cell>
          <cell r="D90" t="str">
            <v>6b</v>
          </cell>
          <cell r="E90">
            <v>40328</v>
          </cell>
          <cell r="F90" t="str">
            <v/>
          </cell>
          <cell r="G90">
            <v>2000000</v>
          </cell>
          <cell r="H90" t="str">
            <v>Install 2nd 161/69kV autotransformer at Sallisaw</v>
          </cell>
          <cell r="I90" t="str">
            <v>Voltage support at Sallisaw</v>
          </cell>
        </row>
        <row r="91">
          <cell r="A91" t="str">
            <v>XFR - Stilwell City 161/69 kV</v>
          </cell>
          <cell r="B91" t="str">
            <v>GRDA</v>
          </cell>
          <cell r="C91" t="str">
            <v>PL</v>
          </cell>
          <cell r="D91" t="str">
            <v>6a</v>
          </cell>
          <cell r="E91">
            <v>38502</v>
          </cell>
          <cell r="F91" t="str">
            <v/>
          </cell>
          <cell r="G91">
            <v>1800000</v>
          </cell>
          <cell r="H91" t="str">
            <v>Install 161/69kV autotransformer at Stilwell</v>
          </cell>
          <cell r="I91" t="str">
            <v>Voltage support in area near Stilwell</v>
          </cell>
        </row>
        <row r="92">
          <cell r="A92" t="str">
            <v>XFR - Tahlequah 161/69 kV</v>
          </cell>
          <cell r="B92" t="str">
            <v>GRDA</v>
          </cell>
          <cell r="C92" t="str">
            <v>PL</v>
          </cell>
          <cell r="D92" t="str">
            <v>6a</v>
          </cell>
          <cell r="E92">
            <v>39963</v>
          </cell>
          <cell r="F92" t="str">
            <v/>
          </cell>
          <cell r="G92">
            <v>1800000</v>
          </cell>
          <cell r="H92" t="str">
            <v>Install 3rd 161/69kV autotransformer at Tahlequah</v>
          </cell>
          <cell r="I92" t="str">
            <v>Increase capacity at Tahlequah</v>
          </cell>
        </row>
        <row r="93">
          <cell r="A93" t="str">
            <v>Device - Arcadia</v>
          </cell>
          <cell r="B93" t="str">
            <v>OKGE</v>
          </cell>
          <cell r="C93" t="str">
            <v>PL</v>
          </cell>
          <cell r="D93" t="str">
            <v>1</v>
          </cell>
          <cell r="E93">
            <v>38442</v>
          </cell>
          <cell r="F93" t="str">
            <v/>
          </cell>
          <cell r="G93">
            <v>325000</v>
          </cell>
          <cell r="H93" t="str">
            <v>Install 25Mvar reactor on the 13.8kV tertiary winding of the 345/138 kV bus tie.</v>
          </cell>
          <cell r="I93" t="str">
            <v>OGE Transmission Operating has experienced high voltage under light loading.  Scada Verifications</v>
          </cell>
        </row>
        <row r="94">
          <cell r="A94" t="str">
            <v>Device - Arcadia</v>
          </cell>
          <cell r="B94" t="str">
            <v>OKGE</v>
          </cell>
          <cell r="C94" t="str">
            <v>PL</v>
          </cell>
          <cell r="D94" t="str">
            <v>1</v>
          </cell>
          <cell r="E94">
            <v>38442</v>
          </cell>
          <cell r="F94" t="str">
            <v/>
          </cell>
          <cell r="G94">
            <v>325000</v>
          </cell>
          <cell r="H94" t="str">
            <v>Install 25Mvar reactor on the 13.8kV tertiary winding of the 345/138 kV bus tie.</v>
          </cell>
          <cell r="I94" t="str">
            <v>OGE Transmission Operating has experienced high voltage under light loading.  Scada Verifications</v>
          </cell>
        </row>
        <row r="95">
          <cell r="A95" t="str">
            <v>Device - Caney Creek</v>
          </cell>
          <cell r="B95" t="str">
            <v>OKGE</v>
          </cell>
          <cell r="C95" t="str">
            <v>PL</v>
          </cell>
          <cell r="D95" t="str">
            <v>99</v>
          </cell>
          <cell r="E95">
            <v>38883</v>
          </cell>
          <cell r="F95" t="str">
            <v/>
          </cell>
          <cell r="G95">
            <v>373988</v>
          </cell>
          <cell r="H95" t="str">
            <v>Install 30MVAR of 138kV capacitors at Caney Creek</v>
          </cell>
          <cell r="I95" t="str">
            <v>OGE Operations has experienced low voltage in this area this summer due to the WFEC Hugo plant trip off.  Loadflow studies from 2006-2010 Summer Peak indicated that capacitors are needed in this area due to the bus contingency at Russett Substation(55120)</v>
          </cell>
        </row>
        <row r="96">
          <cell r="A96" t="str">
            <v>Device - Chandler</v>
          </cell>
          <cell r="B96" t="str">
            <v>OKGE</v>
          </cell>
          <cell r="C96" t="str">
            <v>PL</v>
          </cell>
          <cell r="D96" t="str">
            <v>1</v>
          </cell>
          <cell r="E96">
            <v>37986</v>
          </cell>
          <cell r="F96" t="str">
            <v/>
          </cell>
          <cell r="G96">
            <v>200000</v>
          </cell>
          <cell r="H96" t="str">
            <v/>
          </cell>
          <cell r="I96" t="str">
            <v/>
          </cell>
        </row>
        <row r="97">
          <cell r="A97" t="str">
            <v>Device - Chickasaw</v>
          </cell>
          <cell r="B97" t="str">
            <v>OKGE</v>
          </cell>
          <cell r="C97" t="str">
            <v>PL</v>
          </cell>
          <cell r="D97" t="str">
            <v>99</v>
          </cell>
          <cell r="E97">
            <v>38883</v>
          </cell>
          <cell r="F97" t="str">
            <v/>
          </cell>
          <cell r="G97">
            <v>361533</v>
          </cell>
          <cell r="H97" t="str">
            <v>Install 30MVAR of 138kV capacitors at Chickasaw</v>
          </cell>
          <cell r="I97" t="str">
            <v>OGE Operations has experienced low voltage in this area this summer due to the WFEC Hugo plant trip off.  Loadflow studies from 2006-2010 Summer Peak indicated that capacitors are needed in this area due to the breaker failure contingency of breaker 113 a</v>
          </cell>
        </row>
        <row r="98">
          <cell r="A98" t="str">
            <v>Device - Ft. Smith</v>
          </cell>
          <cell r="B98" t="str">
            <v>OKGE</v>
          </cell>
          <cell r="C98" t="str">
            <v>PL</v>
          </cell>
          <cell r="D98" t="str">
            <v>1</v>
          </cell>
          <cell r="E98">
            <v>38626</v>
          </cell>
          <cell r="F98" t="str">
            <v/>
          </cell>
          <cell r="G98">
            <v>370000</v>
          </cell>
          <cell r="H98" t="str">
            <v>Install switched cap.</v>
          </cell>
          <cell r="I98" t="str">
            <v>The SPP 2005 Summer Peak model indicates a 161kV voltage of 94.8% on the Ft. Smith 161kV bus for the loss of the Entergy ANO 500kV interconnection at this location.</v>
          </cell>
        </row>
        <row r="99">
          <cell r="A99" t="str">
            <v>Device - Massard</v>
          </cell>
          <cell r="B99" t="str">
            <v>OKGE</v>
          </cell>
          <cell r="C99" t="str">
            <v>PL</v>
          </cell>
          <cell r="D99" t="str">
            <v>6a</v>
          </cell>
          <cell r="E99">
            <v>38625</v>
          </cell>
          <cell r="F99" t="str">
            <v/>
          </cell>
          <cell r="G99">
            <v>30000</v>
          </cell>
          <cell r="H99" t="str">
            <v>Increase existing cap size to 18 Mvar.</v>
          </cell>
          <cell r="I99" t="str">
            <v>Increase var support due to operational low voltage. OGE transmission control center experiences occasional low voltage.</v>
          </cell>
        </row>
        <row r="100">
          <cell r="A100" t="str">
            <v>Device - Osage </v>
          </cell>
          <cell r="B100" t="str">
            <v>OKGE</v>
          </cell>
          <cell r="C100" t="str">
            <v>PL</v>
          </cell>
          <cell r="D100" t="str">
            <v>99</v>
          </cell>
          <cell r="E100">
            <v>39052</v>
          </cell>
          <cell r="F100" t="str">
            <v/>
          </cell>
          <cell r="G100">
            <v>361533</v>
          </cell>
          <cell r="H100" t="str">
            <v/>
          </cell>
          <cell r="I100" t="str">
            <v/>
          </cell>
        </row>
        <row r="101">
          <cell r="A101" t="str">
            <v>Device - Russett</v>
          </cell>
          <cell r="B101" t="str">
            <v>OKGE</v>
          </cell>
          <cell r="C101" t="str">
            <v>OOC</v>
          </cell>
          <cell r="D101" t="str">
            <v>2b</v>
          </cell>
          <cell r="E101">
            <v>38656</v>
          </cell>
          <cell r="F101" t="str">
            <v/>
          </cell>
          <cell r="G101">
            <v>261700</v>
          </cell>
          <cell r="H101" t="str">
            <v>Install Switched 138kV cap</v>
          </cell>
          <cell r="I101" t="str">
            <v>Loadflow indicates that low voltage exists for the loss of Sunnyside 345/138kV Bank 3 transformer in the surrounding area.</v>
          </cell>
        </row>
        <row r="102">
          <cell r="A102" t="str">
            <v>Device - Sunnyside</v>
          </cell>
          <cell r="B102" t="str">
            <v>OKGE</v>
          </cell>
          <cell r="C102" t="str">
            <v>PL</v>
          </cell>
          <cell r="D102" t="str">
            <v>1</v>
          </cell>
          <cell r="E102">
            <v>38139</v>
          </cell>
          <cell r="F102" t="str">
            <v/>
          </cell>
          <cell r="G102">
            <v>63000</v>
          </cell>
          <cell r="H102" t="str">
            <v/>
          </cell>
          <cell r="I102" t="str">
            <v/>
          </cell>
        </row>
        <row r="103">
          <cell r="A103" t="str">
            <v>Device - Various</v>
          </cell>
          <cell r="B103" t="str">
            <v>OKGE</v>
          </cell>
          <cell r="C103" t="str">
            <v>PL</v>
          </cell>
          <cell r="D103" t="str">
            <v>99</v>
          </cell>
          <cell r="E103">
            <v>39082</v>
          </cell>
          <cell r="F103" t="str">
            <v/>
          </cell>
          <cell r="G103">
            <v>2349894</v>
          </cell>
          <cell r="H103" t="str">
            <v>Install breaker failure relaying on all transmission breakers and motorize the tie switches on each tie breaker in order to prevent the loss of the entire bus for a tie breaker failure.</v>
          </cell>
          <cell r="I103" t="str">
            <v>Past, Present, and Future studies has shown for a NERC TPL-003-0 contingency that multiple overloads and low voltage areas will occur.  Some possible to a voltage collapse condition.  OGE K-10085 study identified the various areas.</v>
          </cell>
        </row>
        <row r="104">
          <cell r="A104" t="str">
            <v>Device - Various</v>
          </cell>
          <cell r="B104" t="str">
            <v>OKGE</v>
          </cell>
          <cell r="C104" t="str">
            <v>PL</v>
          </cell>
          <cell r="D104" t="str">
            <v>99</v>
          </cell>
          <cell r="E104">
            <v>39082</v>
          </cell>
          <cell r="F104" t="str">
            <v/>
          </cell>
          <cell r="G104">
            <v>2827000</v>
          </cell>
          <cell r="H104" t="str">
            <v>Replace over dutied breakers at various substations.  Year 1 of a 3 year project</v>
          </cell>
          <cell r="I104" t="str">
            <v>OG&amp;E Breaker Duty Study</v>
          </cell>
        </row>
        <row r="105">
          <cell r="A105" t="str">
            <v>Device - VBI</v>
          </cell>
          <cell r="B105" t="str">
            <v>OKGE</v>
          </cell>
          <cell r="C105" t="str">
            <v>PL</v>
          </cell>
          <cell r="D105" t="str">
            <v>6a</v>
          </cell>
          <cell r="E105">
            <v>38656</v>
          </cell>
          <cell r="F105" t="str">
            <v/>
          </cell>
          <cell r="G105">
            <v>200000</v>
          </cell>
          <cell r="H105" t="str">
            <v>Install Switched 69kV cap</v>
          </cell>
          <cell r="I105" t="str">
            <v>Increase var support due to operational low voltage. OGE transmission control center experiences occasional low voltage.</v>
          </cell>
        </row>
        <row r="106">
          <cell r="A106" t="str">
            <v>Device - Woodring</v>
          </cell>
          <cell r="B106" t="str">
            <v>OKGE</v>
          </cell>
          <cell r="C106" t="str">
            <v>PL</v>
          </cell>
          <cell r="D106" t="str">
            <v>99</v>
          </cell>
          <cell r="E106">
            <v>39052</v>
          </cell>
          <cell r="F106" t="str">
            <v/>
          </cell>
          <cell r="G106">
            <v>361533</v>
          </cell>
          <cell r="H106" t="str">
            <v>Install 30MVAR of 138kV capacitors at Woodring</v>
          </cell>
          <cell r="I106" t="str">
            <v>Low Voltage.  Loadflow studies from 2006-2010 Summer Peak indicated that capacitors are needed in this area due to the breaker failure contingency of breaker 102 at Woodring Substation (54714) per NERC TPL-003-0.</v>
          </cell>
        </row>
        <row r="107">
          <cell r="A107" t="str">
            <v>Device - Woodward District</v>
          </cell>
          <cell r="B107" t="str">
            <v>OKGE</v>
          </cell>
          <cell r="C107" t="str">
            <v>PL</v>
          </cell>
          <cell r="D107" t="str">
            <v>2a</v>
          </cell>
          <cell r="E107">
            <v>38656</v>
          </cell>
          <cell r="F107" t="str">
            <v/>
          </cell>
          <cell r="G107">
            <v>100000</v>
          </cell>
          <cell r="H107" t="str">
            <v>Install Switched 69kV cap</v>
          </cell>
          <cell r="I107" t="str">
            <v>Loadflow indicates that low voltage exists at Woodward District when WFEC's Mooreland Plant is off-line.</v>
          </cell>
        </row>
        <row r="108">
          <cell r="A108" t="str">
            <v>Gen - Blue Canyon 2</v>
          </cell>
          <cell r="B108" t="str">
            <v>OKGE</v>
          </cell>
          <cell r="C108" t="str">
            <v>OOC</v>
          </cell>
          <cell r="D108" t="str">
            <v>9</v>
          </cell>
          <cell r="E108">
            <v>38717</v>
          </cell>
          <cell r="F108" t="str">
            <v/>
          </cell>
          <cell r="G108" t="str">
            <v/>
          </cell>
          <cell r="H108" t="str">
            <v>Wind Farms</v>
          </cell>
          <cell r="I108" t="str">
            <v/>
          </cell>
        </row>
        <row r="109">
          <cell r="A109" t="str">
            <v>Gen - Weatherford</v>
          </cell>
          <cell r="B109" t="str">
            <v>OKGE</v>
          </cell>
          <cell r="C109" t="str">
            <v>OOC</v>
          </cell>
          <cell r="D109" t="str">
            <v>9</v>
          </cell>
          <cell r="E109">
            <v>38717</v>
          </cell>
          <cell r="F109" t="str">
            <v/>
          </cell>
          <cell r="G109" t="str">
            <v/>
          </cell>
          <cell r="H109" t="str">
            <v>Wind Farms</v>
          </cell>
          <cell r="I109" t="str">
            <v/>
          </cell>
        </row>
        <row r="110">
          <cell r="A110" t="str">
            <v>Line - 3rd Street Tap - Massard 161 kV</v>
          </cell>
          <cell r="B110" t="str">
            <v>OKGE</v>
          </cell>
          <cell r="C110" t="str">
            <v>X</v>
          </cell>
          <cell r="D110" t="str">
            <v>1</v>
          </cell>
          <cell r="E110">
            <v>38869</v>
          </cell>
          <cell r="F110">
            <v>38504</v>
          </cell>
          <cell r="G110">
            <v>450000</v>
          </cell>
          <cell r="H110" t="str">
            <v>New tap on 3rd street and new line from 3rd Tap - Massard</v>
          </cell>
          <cell r="I110" t="str">
            <v>To alleviate loading on Massard XF for outage of Ft. Smith - Arkoma</v>
          </cell>
        </row>
        <row r="111">
          <cell r="A111" t="str">
            <v>Line - Altus - Fitzhugh 161 kV</v>
          </cell>
          <cell r="B111" t="str">
            <v>OKGE</v>
          </cell>
          <cell r="C111" t="str">
            <v>PL</v>
          </cell>
          <cell r="D111" t="str">
            <v>2b</v>
          </cell>
          <cell r="E111">
            <v>40330</v>
          </cell>
          <cell r="F111" t="str">
            <v/>
          </cell>
          <cell r="G111">
            <v>660000</v>
          </cell>
          <cell r="H111" t="str">
            <v>Conversion from 69kV to 161kV</v>
          </cell>
          <cell r="I111" t="str">
            <v/>
          </cell>
        </row>
        <row r="112">
          <cell r="A112" t="str">
            <v>Line - Breckenridge Tap - NE Enid 138 kV</v>
          </cell>
          <cell r="B112" t="str">
            <v>OKGE</v>
          </cell>
          <cell r="C112" t="str">
            <v>PL</v>
          </cell>
          <cell r="D112" t="str">
            <v>1</v>
          </cell>
          <cell r="E112">
            <v>37773</v>
          </cell>
          <cell r="F112" t="str">
            <v/>
          </cell>
          <cell r="G112">
            <v>1800000</v>
          </cell>
          <cell r="H112" t="str">
            <v/>
          </cell>
          <cell r="I112" t="str">
            <v/>
          </cell>
        </row>
        <row r="113">
          <cell r="A113" t="str">
            <v>Line - Bristow - Keystone West 138 kV</v>
          </cell>
          <cell r="B113" t="str">
            <v>OKGE</v>
          </cell>
          <cell r="C113" t="str">
            <v>AA</v>
          </cell>
          <cell r="D113" t="str">
            <v>4</v>
          </cell>
          <cell r="E113">
            <v>38718</v>
          </cell>
          <cell r="F113" t="str">
            <v/>
          </cell>
          <cell r="G113">
            <v>350000</v>
          </cell>
          <cell r="H113" t="str">
            <v>Upgrade CT and Wavetrap at Bristow, and line relays at Bristow, Rock Creek &amp; Horseshoe Lake.</v>
          </cell>
          <cell r="I113" t="str">
            <v>Attachment AA Upgrade</v>
          </cell>
        </row>
        <row r="114">
          <cell r="A114" t="str">
            <v>Line - Brown  - Explorer Tap 138 kV Ckt 1</v>
          </cell>
          <cell r="B114" t="str">
            <v>OKGE</v>
          </cell>
          <cell r="C114" t="str">
            <v>PL</v>
          </cell>
          <cell r="D114" t="str">
            <v>99</v>
          </cell>
          <cell r="E114">
            <v>38869</v>
          </cell>
          <cell r="F114" t="str">
            <v/>
          </cell>
          <cell r="G114">
            <v>10000</v>
          </cell>
          <cell r="H114" t="str">
            <v>Increase CT ratio at OGE Brown substation to 600A.</v>
          </cell>
          <cell r="I114" t="str">
            <v>The 2010 Summer Peak Contingency Analysis indicates that the loss of the  Bus # 55120 RUSSET 138kV to  Bus # 55147 GLASSES4 138 line causes and overload on the Bus # 52802 S BROWN 138kV to  55157 BROWN 138kV section.  To mitigate an (N-1) condition as det</v>
          </cell>
        </row>
        <row r="115">
          <cell r="A115" t="str">
            <v>Line - Chitwood - Garber 138 kV</v>
          </cell>
          <cell r="B115" t="str">
            <v>OKGE</v>
          </cell>
          <cell r="C115" t="str">
            <v>OOC</v>
          </cell>
          <cell r="D115" t="str">
            <v>6a</v>
          </cell>
          <cell r="E115">
            <v>38869</v>
          </cell>
          <cell r="F115" t="str">
            <v/>
          </cell>
          <cell r="G115">
            <v>1811674</v>
          </cell>
          <cell r="H115" t="str">
            <v>New Tie-OMPA-Garber to OG&amp;E Chitwood, complete loop 138kV, Arcadia-Memo Tp</v>
          </cell>
          <cell r="I115" t="str">
            <v>Generation dispatch schedule and Joint OMPA/Edmond/OG&amp;E Planning Study.
This project is to close a transmission loop to serve distribution load.</v>
          </cell>
        </row>
        <row r="116">
          <cell r="A116" t="str">
            <v>Line - Division - Silver Lake 138 kV</v>
          </cell>
          <cell r="B116" t="str">
            <v>OKGE</v>
          </cell>
          <cell r="C116" t="str">
            <v>PL</v>
          </cell>
          <cell r="D116" t="str">
            <v>1</v>
          </cell>
          <cell r="E116">
            <v>38503</v>
          </cell>
          <cell r="F116" t="str">
            <v/>
          </cell>
          <cell r="G116">
            <v>125000</v>
          </cell>
          <cell r="H116" t="str">
            <v>Replace terminal equipment and trap at Division Substation to 2000A.</v>
          </cell>
          <cell r="I116" t="str">
            <v>Alleviate SPP Flowgate.</v>
          </cell>
        </row>
        <row r="117">
          <cell r="A117" t="str">
            <v>Line - Earlsboro - Fixico 69 kV</v>
          </cell>
          <cell r="B117" t="str">
            <v>OKGE</v>
          </cell>
          <cell r="C117" t="str">
            <v>X</v>
          </cell>
          <cell r="D117" t="str">
            <v>2a</v>
          </cell>
          <cell r="E117">
            <v>39965</v>
          </cell>
          <cell r="F117">
            <v>39965</v>
          </cell>
          <cell r="G117">
            <v>50000</v>
          </cell>
          <cell r="H117" t="str">
            <v>Replace CT &amp; Trip to 1200A</v>
          </cell>
          <cell r="I117" t="str">
            <v>Earlsboro - Fixico overload for Fixct4 disconnect</v>
          </cell>
        </row>
        <row r="118">
          <cell r="A118" t="str">
            <v>Line - Etowah - Tribbey 69 kV</v>
          </cell>
          <cell r="B118" t="str">
            <v>OKGE</v>
          </cell>
          <cell r="C118" t="str">
            <v>X</v>
          </cell>
          <cell r="D118" t="str">
            <v>1</v>
          </cell>
          <cell r="E118">
            <v>38504</v>
          </cell>
          <cell r="F118">
            <v>38504</v>
          </cell>
          <cell r="G118">
            <v>0</v>
          </cell>
          <cell r="H118" t="str">
            <v>Close NO switch of Etowah-Tribbey NOTE:  Overloads Midwest - Franklin so it must take place after the Midwest - Franklin project is complete</v>
          </cell>
          <cell r="I118" t="str">
            <v>Low voltage around Spring Hill, Little Axe, Etowah, Macomoc for OKGEMTL-24.  Violates NERC TPL-002-0 and SPP Criteria 3.4.</v>
          </cell>
        </row>
        <row r="119">
          <cell r="A119" t="str">
            <v>Line - Fitzhugh - Helberg 161 kV</v>
          </cell>
          <cell r="B119" t="str">
            <v>OKGE</v>
          </cell>
          <cell r="C119" t="str">
            <v>PL</v>
          </cell>
          <cell r="D119" t="str">
            <v>6c</v>
          </cell>
          <cell r="E119">
            <v>40330</v>
          </cell>
          <cell r="F119" t="str">
            <v/>
          </cell>
          <cell r="G119">
            <v>1416000</v>
          </cell>
          <cell r="H119" t="str">
            <v>Conversion from 69kV to 161kV</v>
          </cell>
          <cell r="I119" t="str">
            <v/>
          </cell>
        </row>
        <row r="120">
          <cell r="A120" t="str">
            <v>Line - Five Tribes - Pecan Creek 161 kV</v>
          </cell>
          <cell r="B120" t="str">
            <v>OKGE</v>
          </cell>
          <cell r="C120" t="str">
            <v>X</v>
          </cell>
          <cell r="D120" t="str">
            <v>1</v>
          </cell>
          <cell r="E120">
            <v>38462</v>
          </cell>
          <cell r="F120" t="str">
            <v/>
          </cell>
          <cell r="G120">
            <v>15000</v>
          </cell>
          <cell r="H120" t="str">
            <v>Increase CTR to 1200A at Five Tribes Substation.</v>
          </cell>
          <cell r="I120" t="str">
            <v/>
          </cell>
        </row>
        <row r="121">
          <cell r="A121" t="str">
            <v>Line - Great Lakes Carbon - Altus 161 kV</v>
          </cell>
          <cell r="B121" t="str">
            <v>OKGE</v>
          </cell>
          <cell r="C121" t="str">
            <v>PL</v>
          </cell>
          <cell r="D121" t="str">
            <v>2b</v>
          </cell>
          <cell r="E121">
            <v>40330</v>
          </cell>
          <cell r="F121" t="str">
            <v/>
          </cell>
          <cell r="G121">
            <v>543000</v>
          </cell>
          <cell r="H121" t="str">
            <v>Conversion from 69kV to 161kV</v>
          </cell>
          <cell r="I121" t="str">
            <v/>
          </cell>
        </row>
        <row r="122">
          <cell r="A122" t="str">
            <v>Line - Horseshoe Lake - Hammett 69 kV</v>
          </cell>
          <cell r="B122" t="str">
            <v>OKGE</v>
          </cell>
          <cell r="C122" t="str">
            <v>PL</v>
          </cell>
          <cell r="D122" t="str">
            <v>1</v>
          </cell>
          <cell r="E122">
            <v>38503</v>
          </cell>
          <cell r="F122" t="str">
            <v/>
          </cell>
          <cell r="G122">
            <v>15000</v>
          </cell>
          <cell r="H122" t="str">
            <v>Increase CTR to 600A.</v>
          </cell>
          <cell r="I122" t="str">
            <v>Double Circuit CONTINGENCY 64            
OPEN BRANCH FROM BUS 55025 TO BUS 55026 CKT 1 / line from   EUCHE2  69.00  to    DRUM 2  69.00
OPEN BRANCH FROM BUS 55026 TO BUS 55027 CKT 1 / line from   DRUM 2  69.00  to    TIGER2  69.00  in 2005 Summer Peak Mo</v>
          </cell>
        </row>
        <row r="123">
          <cell r="A123" t="str">
            <v>Line - Igo - Noark 161 kV</v>
          </cell>
          <cell r="B123" t="str">
            <v>OKGE</v>
          </cell>
          <cell r="C123" t="str">
            <v>PL</v>
          </cell>
          <cell r="D123" t="str">
            <v>2b</v>
          </cell>
          <cell r="E123">
            <v>40330</v>
          </cell>
          <cell r="F123" t="str">
            <v/>
          </cell>
          <cell r="G123">
            <v>2994000</v>
          </cell>
          <cell r="H123" t="str">
            <v>Conversion from 69kV to 161kV</v>
          </cell>
          <cell r="I123" t="str">
            <v/>
          </cell>
        </row>
        <row r="124">
          <cell r="A124" t="str">
            <v>Line - Little Spadra - Razorback Tap 161 kV</v>
          </cell>
          <cell r="B124" t="str">
            <v>OKGE</v>
          </cell>
          <cell r="C124" t="str">
            <v>PL</v>
          </cell>
          <cell r="D124" t="str">
            <v>2b</v>
          </cell>
          <cell r="E124">
            <v>40330</v>
          </cell>
          <cell r="F124" t="str">
            <v/>
          </cell>
          <cell r="G124">
            <v>2112000</v>
          </cell>
          <cell r="H124" t="str">
            <v>Conversion from 69kV to 161kV</v>
          </cell>
          <cell r="I124" t="str">
            <v/>
          </cell>
        </row>
        <row r="125">
          <cell r="A125" t="str">
            <v>Line - Little Spadra - SPA Clarksville 161 kV</v>
          </cell>
          <cell r="B125" t="str">
            <v>OKGE</v>
          </cell>
          <cell r="C125" t="str">
            <v>PL</v>
          </cell>
          <cell r="D125" t="str">
            <v>1</v>
          </cell>
          <cell r="E125">
            <v>38352</v>
          </cell>
          <cell r="F125" t="str">
            <v/>
          </cell>
          <cell r="G125">
            <v>2000000</v>
          </cell>
          <cell r="H125" t="str">
            <v/>
          </cell>
          <cell r="I125" t="str">
            <v/>
          </cell>
        </row>
        <row r="126">
          <cell r="A126" t="str">
            <v>Line - Memorial - Skyline 138 kV</v>
          </cell>
          <cell r="B126" t="str">
            <v>OKGE</v>
          </cell>
          <cell r="C126" t="str">
            <v>PL</v>
          </cell>
          <cell r="D126" t="str">
            <v>1</v>
          </cell>
          <cell r="E126">
            <v>38471</v>
          </cell>
          <cell r="F126" t="str">
            <v/>
          </cell>
          <cell r="G126">
            <v>1600000</v>
          </cell>
          <cell r="H126" t="str">
            <v>Increase Terminal equipment and reconductor to 2000A.</v>
          </cell>
          <cell r="I126" t="str">
            <v>To satisfy FERC oder to buy McClain Power Plant.</v>
          </cell>
        </row>
        <row r="127">
          <cell r="A127" t="str">
            <v>Line - Muldrow - Third St 69 kV</v>
          </cell>
          <cell r="B127" t="str">
            <v>OKGE</v>
          </cell>
          <cell r="C127" t="str">
            <v>PL</v>
          </cell>
          <cell r="D127" t="str">
            <v>1</v>
          </cell>
          <cell r="E127">
            <v>37986</v>
          </cell>
          <cell r="F127" t="str">
            <v/>
          </cell>
          <cell r="G127">
            <v>1700000</v>
          </cell>
          <cell r="H127" t="str">
            <v/>
          </cell>
          <cell r="I127" t="str">
            <v/>
          </cell>
        </row>
        <row r="128">
          <cell r="A128" t="str">
            <v>Line - Muskogee - Clarksville 345 kV</v>
          </cell>
          <cell r="B128" t="str">
            <v>OKGE</v>
          </cell>
          <cell r="C128" t="str">
            <v>PL</v>
          </cell>
          <cell r="D128" t="str">
            <v>1</v>
          </cell>
          <cell r="E128">
            <v>38503</v>
          </cell>
          <cell r="F128" t="str">
            <v/>
          </cell>
          <cell r="G128">
            <v>15000</v>
          </cell>
          <cell r="H128" t="str">
            <v>Increase CTR to 2000A at Muskogee. </v>
          </cell>
          <cell r="I128" t="str">
            <v>Upgrade to terminal limits as identified by OGE for future growth.</v>
          </cell>
        </row>
        <row r="129">
          <cell r="A129" t="str">
            <v>Line - Muskogee - Clarksville 345 kV Terminal Upgrades</v>
          </cell>
          <cell r="B129" t="str">
            <v>OKGE</v>
          </cell>
          <cell r="C129" t="str">
            <v>AG</v>
          </cell>
          <cell r="D129" t="str">
            <v>3</v>
          </cell>
          <cell r="E129">
            <v>42156</v>
          </cell>
          <cell r="F129" t="str">
            <v/>
          </cell>
          <cell r="G129">
            <v>139839</v>
          </cell>
          <cell r="H129" t="str">
            <v>Change 2-345kV breakers to 3000A, a trap to 3000A, 5 switches to 3000A, and 2 differential relays </v>
          </cell>
          <cell r="I129" t="str">
            <v>Partial base plan funded. $139,839 base plan funded and $815,161 allocated to customer.</v>
          </cell>
        </row>
        <row r="130">
          <cell r="A130" t="str">
            <v>Line - Muskogee - Riverside 345 kV</v>
          </cell>
          <cell r="B130" t="str">
            <v>OKGE</v>
          </cell>
          <cell r="C130" t="str">
            <v>PL</v>
          </cell>
          <cell r="D130" t="str">
            <v>1</v>
          </cell>
          <cell r="E130">
            <v>38503</v>
          </cell>
          <cell r="F130" t="str">
            <v/>
          </cell>
          <cell r="G130">
            <v>15000</v>
          </cell>
          <cell r="H130" t="str">
            <v>Increase CTR to 2000A at Muskogee.  New limit is 1760A AEP Trap</v>
          </cell>
          <cell r="I130" t="str">
            <v>Upgrade to terminal limits as identified by OGE for future growth.</v>
          </cell>
        </row>
        <row r="131">
          <cell r="A131" t="str">
            <v>Line - Mustang - Morgan 138 kV</v>
          </cell>
          <cell r="B131" t="str">
            <v>OKGE</v>
          </cell>
          <cell r="C131" t="str">
            <v>PL</v>
          </cell>
          <cell r="D131" t="str">
            <v>1</v>
          </cell>
          <cell r="E131">
            <v>38395</v>
          </cell>
          <cell r="F131" t="str">
            <v/>
          </cell>
          <cell r="G131">
            <v>15000</v>
          </cell>
          <cell r="H131" t="str">
            <v>Increase CTR to 2000A at Mustang.</v>
          </cell>
          <cell r="I131" t="str">
            <v>To satisfy FERC oder to buy McClain Power Plant.</v>
          </cell>
        </row>
        <row r="132">
          <cell r="A132" t="str">
            <v>Line - NE Enid - Glenwood 138 kV</v>
          </cell>
          <cell r="B132" t="str">
            <v>OKGE</v>
          </cell>
          <cell r="C132" t="str">
            <v>PL</v>
          </cell>
          <cell r="D132" t="str">
            <v>1</v>
          </cell>
          <cell r="E132">
            <v>38352</v>
          </cell>
          <cell r="F132" t="str">
            <v/>
          </cell>
          <cell r="G132">
            <v>2500000</v>
          </cell>
          <cell r="H132" t="str">
            <v>Part of a long term project per K Study 5140.3 to enhance the transmission system in Enid, OK.  This is the last phase of the project.</v>
          </cell>
          <cell r="I132" t="str">
            <v>Due to OGE K5140.3 study in 2001 that identified violations of OGE S3-5 operating practice and low voltage (possibly voltage collapse) for the loss of the So. 4th-Cleveland Tap (n-1) contingency or if Chestnut Tap switch 31 is opened during peak(n-1).  Vi</v>
          </cell>
        </row>
        <row r="133">
          <cell r="A133" t="str">
            <v>Line - NE10th - Glendale 138 kV</v>
          </cell>
          <cell r="B133" t="str">
            <v>OKGE</v>
          </cell>
          <cell r="C133" t="str">
            <v>PL</v>
          </cell>
          <cell r="D133" t="str">
            <v>6c</v>
          </cell>
          <cell r="E133">
            <v>38504</v>
          </cell>
          <cell r="F133" t="str">
            <v/>
          </cell>
          <cell r="G133">
            <v>750000</v>
          </cell>
          <cell r="H133" t="str">
            <v>Related to the new construction of Glendale</v>
          </cell>
          <cell r="I133" t="str">
            <v>This project is under current review to see the pro &amp; cons of closing this line.</v>
          </cell>
        </row>
        <row r="134">
          <cell r="A134" t="str">
            <v>Line - Noark - Great Lakes Carbon 161 kV</v>
          </cell>
          <cell r="B134" t="str">
            <v>OKGE</v>
          </cell>
          <cell r="C134" t="str">
            <v>PL</v>
          </cell>
          <cell r="D134" t="str">
            <v>2b</v>
          </cell>
          <cell r="E134">
            <v>40330</v>
          </cell>
          <cell r="F134" t="str">
            <v/>
          </cell>
          <cell r="G134">
            <v>522000</v>
          </cell>
          <cell r="H134" t="str">
            <v>Conversion from 69kV to 161kV</v>
          </cell>
          <cell r="I134" t="str">
            <v/>
          </cell>
        </row>
        <row r="135">
          <cell r="A135" t="str">
            <v>Line - Park Lane - Ahloso Tap 69 kV</v>
          </cell>
          <cell r="B135" t="str">
            <v>OKGE</v>
          </cell>
          <cell r="C135" t="str">
            <v>X</v>
          </cell>
          <cell r="D135" t="str">
            <v>2a</v>
          </cell>
          <cell r="E135">
            <v>40330</v>
          </cell>
          <cell r="F135">
            <v>40330</v>
          </cell>
          <cell r="G135">
            <v>50000</v>
          </cell>
          <cell r="H135" t="str">
            <v>Relay upgrade</v>
          </cell>
          <cell r="I135" t="str">
            <v>Park Lane - Ahloso Tap overload for SPP-OKGE-02</v>
          </cell>
        </row>
        <row r="136">
          <cell r="A136" t="str">
            <v>Line - Park Lane - Ahloso Tap 69 kV</v>
          </cell>
          <cell r="B136" t="str">
            <v>OKGE</v>
          </cell>
          <cell r="C136" t="str">
            <v>X</v>
          </cell>
          <cell r="D136" t="str">
            <v>1</v>
          </cell>
          <cell r="E136">
            <v>38504</v>
          </cell>
          <cell r="F136">
            <v>38504</v>
          </cell>
          <cell r="G136">
            <v>50000</v>
          </cell>
          <cell r="H136" t="str">
            <v>Replacement of Switch (800-&gt;1200A)</v>
          </cell>
          <cell r="I136" t="str">
            <v>Park Lane - Ahloso Tap overload during outage of Valley View - Valley View Tap &amp; Ahloso  69 - ADA OC Pump 69  (Closed).  Violates NERC TPL-002-0 and SPP Criteria 3.4.</v>
          </cell>
        </row>
        <row r="137">
          <cell r="A137" t="str">
            <v>Line - Pittsburg - Seminole 345 kV</v>
          </cell>
          <cell r="B137" t="str">
            <v>OKGE</v>
          </cell>
          <cell r="C137" t="str">
            <v>PL</v>
          </cell>
          <cell r="D137" t="str">
            <v>1</v>
          </cell>
          <cell r="E137">
            <v>38292</v>
          </cell>
          <cell r="F137" t="str">
            <v/>
          </cell>
          <cell r="G137">
            <v>25000</v>
          </cell>
          <cell r="H137" t="str">
            <v>Wavetrap and CT at Seminole</v>
          </cell>
          <cell r="I137" t="str">
            <v/>
          </cell>
        </row>
        <row r="138">
          <cell r="A138" t="str">
            <v>Line - Razorback - Short Mountain 161 kV</v>
          </cell>
          <cell r="B138" t="str">
            <v>OKGE</v>
          </cell>
          <cell r="C138" t="str">
            <v>PL</v>
          </cell>
          <cell r="D138" t="str">
            <v>2b</v>
          </cell>
          <cell r="E138">
            <v>40330</v>
          </cell>
          <cell r="F138" t="str">
            <v/>
          </cell>
          <cell r="G138">
            <v>4050000</v>
          </cell>
          <cell r="H138" t="str">
            <v>Conversion from 69kV to 161kV</v>
          </cell>
          <cell r="I138" t="str">
            <v/>
          </cell>
        </row>
        <row r="139">
          <cell r="A139" t="str">
            <v>Line - Razorback - Short Mountain 69 kV</v>
          </cell>
          <cell r="B139" t="str">
            <v>OKGE</v>
          </cell>
          <cell r="C139" t="str">
            <v>PL</v>
          </cell>
          <cell r="D139" t="str">
            <v>6d</v>
          </cell>
          <cell r="E139">
            <v>38717</v>
          </cell>
          <cell r="F139" t="str">
            <v/>
          </cell>
          <cell r="G139">
            <v>4800000</v>
          </cell>
          <cell r="H139" t="str">
            <v>New 69(161)kV transmission line from Razorback to Short Mountain</v>
          </cell>
          <cell r="I139" t="str">
            <v>Project was intiated to close the radial transmission lines at Short Mountain and Razorback Substation per OGE's Operating Guides S3-5.</v>
          </cell>
        </row>
        <row r="140">
          <cell r="A140" t="str">
            <v>Line - Razorback Tap - Igo 161 kV</v>
          </cell>
          <cell r="B140" t="str">
            <v>OKGE</v>
          </cell>
          <cell r="C140" t="str">
            <v>PL</v>
          </cell>
          <cell r="D140" t="str">
            <v>2b</v>
          </cell>
          <cell r="E140">
            <v>40330</v>
          </cell>
          <cell r="F140" t="str">
            <v/>
          </cell>
          <cell r="G140">
            <v>2973000</v>
          </cell>
          <cell r="H140" t="str">
            <v>Conversion from 69kV to 161kV</v>
          </cell>
          <cell r="I140" t="str">
            <v/>
          </cell>
        </row>
        <row r="141">
          <cell r="A141" t="str">
            <v>Line - Razorback Tap - Razorback 161 kV</v>
          </cell>
          <cell r="B141" t="str">
            <v>OKGE</v>
          </cell>
          <cell r="C141" t="str">
            <v>PL</v>
          </cell>
          <cell r="D141" t="str">
            <v>2b</v>
          </cell>
          <cell r="E141">
            <v>40330</v>
          </cell>
          <cell r="F141" t="str">
            <v/>
          </cell>
          <cell r="G141">
            <v>2850000</v>
          </cell>
          <cell r="H141" t="str">
            <v>Conversion from 69kV to 161kV</v>
          </cell>
          <cell r="I141" t="str">
            <v/>
          </cell>
        </row>
        <row r="142">
          <cell r="A142" t="str">
            <v>Line - Razorback Tap - Razorback 69 kV</v>
          </cell>
          <cell r="B142" t="str">
            <v>OKGE</v>
          </cell>
          <cell r="C142" t="str">
            <v>PL</v>
          </cell>
          <cell r="D142" t="str">
            <v>6d</v>
          </cell>
          <cell r="E142">
            <v>40330</v>
          </cell>
          <cell r="F142" t="str">
            <v/>
          </cell>
          <cell r="G142">
            <v>2800000</v>
          </cell>
          <cell r="H142" t="str">
            <v>New 69(161)kV transmission line from Razorback to Razorback Tap</v>
          </cell>
          <cell r="I142" t="str">
            <v>Project was initiated due to the fact that for the outage of the Short Mountain Substation that not all of the 34.5kV area customers could be restored by area transfers.  Violates OGE Operating Practice S3-5.</v>
          </cell>
        </row>
        <row r="143">
          <cell r="A143" t="str">
            <v>Line - Redbud - Arcadia</v>
          </cell>
          <cell r="B143" t="str">
            <v>OKGE</v>
          </cell>
          <cell r="C143" t="str">
            <v>PL</v>
          </cell>
          <cell r="D143" t="str">
            <v>99</v>
          </cell>
          <cell r="E143">
            <v>38852</v>
          </cell>
          <cell r="F143" t="str">
            <v/>
          </cell>
          <cell r="G143">
            <v>1430000</v>
          </cell>
          <cell r="H143" t="str">
            <v>Replace 3 breakers, 10 switches and ancillary equipment in Arcadia sub</v>
          </cell>
          <cell r="I143" t="str">
            <v/>
          </cell>
        </row>
        <row r="144">
          <cell r="A144" t="str">
            <v>Line - Reno - Sunny Lane 69 kV</v>
          </cell>
          <cell r="B144" t="str">
            <v>OKGE</v>
          </cell>
          <cell r="C144" t="str">
            <v>X</v>
          </cell>
          <cell r="D144" t="str">
            <v>2a</v>
          </cell>
          <cell r="E144">
            <v>38869</v>
          </cell>
          <cell r="F144">
            <v>38869</v>
          </cell>
          <cell r="G144">
            <v>100000</v>
          </cell>
          <cell r="H144" t="str">
            <v>Replace Wave Trap and CT -- new limit 1200A</v>
          </cell>
          <cell r="I144" t="str">
            <v>Reno - Sunny Lane overload for OKGEMTL-19 Contingency</v>
          </cell>
        </row>
        <row r="145">
          <cell r="A145" t="str">
            <v>Line - Richards - Piedmont 138 kV</v>
          </cell>
          <cell r="B145" t="str">
            <v>OKGE</v>
          </cell>
          <cell r="C145" t="str">
            <v>PL</v>
          </cell>
          <cell r="D145" t="str">
            <v>6b</v>
          </cell>
          <cell r="E145">
            <v>38898</v>
          </cell>
          <cell r="F145" t="str">
            <v/>
          </cell>
          <cell r="G145">
            <v>2031693</v>
          </cell>
          <cell r="H145" t="str">
            <v>New 138kV line from Piedmont to Richards.</v>
          </cell>
          <cell r="I145" t="str">
            <v>Violations of OGE Operating Practice S3-5 due to radial load at Piedmont.</v>
          </cell>
        </row>
        <row r="146">
          <cell r="A146" t="str">
            <v>Line - Richars Tap - Richards 138 kV</v>
          </cell>
          <cell r="B146" t="str">
            <v>OKGE</v>
          </cell>
          <cell r="C146" t="str">
            <v>PL</v>
          </cell>
          <cell r="D146" t="str">
            <v>1</v>
          </cell>
          <cell r="E146">
            <v>38869</v>
          </cell>
          <cell r="F146" t="str">
            <v/>
          </cell>
          <cell r="G146">
            <v>1000000</v>
          </cell>
          <cell r="H146" t="str">
            <v>New 138 kV line</v>
          </cell>
          <cell r="I146" t="str">
            <v>Violations of OGE Operating Practice S3-5 due to radial load at Piedmont.</v>
          </cell>
        </row>
        <row r="147">
          <cell r="A147" t="str">
            <v>Line - Shawnee - Mission Hill 69 kV</v>
          </cell>
          <cell r="B147" t="str">
            <v>OKGE</v>
          </cell>
          <cell r="C147" t="str">
            <v>PL</v>
          </cell>
          <cell r="D147" t="str">
            <v>2a</v>
          </cell>
          <cell r="E147">
            <v>38656</v>
          </cell>
          <cell r="F147" t="str">
            <v/>
          </cell>
          <cell r="G147">
            <v>10000</v>
          </cell>
          <cell r="H147" t="str">
            <v>Increase CTR to 600A.</v>
          </cell>
          <cell r="I147" t="str">
            <v>Expansion plan because it is an overload due to the loss of a 69 kV facility.  The facility is the EMDE Blackhawk Jct. to AECI Jamesville 69. Single contingency 55059 SQUIRCK to 55075 FRSTHIL 138kV in the 2005 Winter Peak Model causes this overload.  Viol</v>
          </cell>
        </row>
        <row r="148">
          <cell r="A148" t="str">
            <v>Line - Short Mountain - Branch 161 kV</v>
          </cell>
          <cell r="B148" t="str">
            <v>OKGE</v>
          </cell>
          <cell r="C148" t="str">
            <v>PL</v>
          </cell>
          <cell r="D148" t="str">
            <v>2b</v>
          </cell>
          <cell r="E148">
            <v>40330</v>
          </cell>
          <cell r="F148" t="str">
            <v/>
          </cell>
          <cell r="G148">
            <v>3231000</v>
          </cell>
          <cell r="H148" t="str">
            <v>Conversion from 69kV to 161kV</v>
          </cell>
          <cell r="I148" t="str">
            <v>Loadflow results from OGE internal K Study estimates that the 69kV will have to be converted to 161kV to be able to support voltage and alleviate overloads in approximately 2010.  Most of the T-Line is built 161kV but operating at 69kV.  Violations in app</v>
          </cell>
        </row>
        <row r="149">
          <cell r="A149" t="str">
            <v>Line - Stillwater - McElroy 138 kV</v>
          </cell>
          <cell r="B149" t="str">
            <v>OKGE</v>
          </cell>
          <cell r="C149" t="str">
            <v>X</v>
          </cell>
          <cell r="D149" t="str">
            <v>1</v>
          </cell>
          <cell r="E149">
            <v>38869</v>
          </cell>
          <cell r="F149">
            <v>38472</v>
          </cell>
          <cell r="G149">
            <v>800000</v>
          </cell>
          <cell r="H149" t="str">
            <v>Reconductor 1.91 miles of 477AS33 to 795AS33</v>
          </cell>
          <cell r="I149" t="str">
            <v>Stillwater to McElroy overload for Northwest to Spring Creek 345 kV Outage</v>
          </cell>
        </row>
        <row r="150">
          <cell r="A150" t="str">
            <v>Line - Stillwater - Morrison 138 kV</v>
          </cell>
          <cell r="B150" t="str">
            <v>OKGE</v>
          </cell>
          <cell r="C150" t="str">
            <v>OOC</v>
          </cell>
          <cell r="D150" t="str">
            <v>5a</v>
          </cell>
          <cell r="E150">
            <v>38869</v>
          </cell>
          <cell r="F150" t="str">
            <v/>
          </cell>
          <cell r="G150">
            <v>1866675</v>
          </cell>
          <cell r="H150" t="str">
            <v>Terminal Upgrade &amp; Reconductor to 795 ACCC/TW</v>
          </cell>
          <cell r="I150" t="str">
            <v>Alleviate a known SPP flowgate Stillwater – Morrison Tap 138kV line.</v>
          </cell>
        </row>
        <row r="151">
          <cell r="A151" t="str">
            <v>Line - Sunnyside - Pittsburg 345 kV</v>
          </cell>
          <cell r="B151" t="str">
            <v>OKGE</v>
          </cell>
          <cell r="C151" t="str">
            <v>PL</v>
          </cell>
          <cell r="D151" t="str">
            <v>1</v>
          </cell>
          <cell r="E151">
            <v>38472</v>
          </cell>
          <cell r="F151" t="str">
            <v/>
          </cell>
          <cell r="G151">
            <v>10000</v>
          </cell>
          <cell r="H151" t="str">
            <v>Increase CTR to 2000A at Sunnyside.  Next limit is 1339A Relay setting at AEP's Pittsburg.</v>
          </cell>
          <cell r="I151" t="str">
            <v>Alleviate SPP Flowgate.</v>
          </cell>
        </row>
        <row r="152">
          <cell r="A152" t="str">
            <v>Line - Van Buren AVEC - VBI 69 kV</v>
          </cell>
          <cell r="B152" t="str">
            <v>OKGE</v>
          </cell>
          <cell r="C152" t="str">
            <v>PL</v>
          </cell>
          <cell r="D152" t="str">
            <v>2a</v>
          </cell>
          <cell r="E152">
            <v>38869</v>
          </cell>
          <cell r="F152" t="str">
            <v/>
          </cell>
          <cell r="G152">
            <v>50000</v>
          </cell>
          <cell r="H152" t="str">
            <v>Trap &amp; CTR work increase to 1200A.</v>
          </cell>
          <cell r="I152" t="str">
            <v>Single contingency 55294 JOHNSON to 55295 EXPOPRK 69kV in the 2007 Summer Peak model causes this overload.  Violates NERC TPL-002-0 and SPP Criteria 3.4.</v>
          </cell>
        </row>
        <row r="153">
          <cell r="A153" t="str">
            <v>Line - Woodward District - Iodine 138 kV</v>
          </cell>
          <cell r="B153" t="str">
            <v>OKGE</v>
          </cell>
          <cell r="C153" t="str">
            <v>OOC</v>
          </cell>
          <cell r="D153" t="str">
            <v>2b</v>
          </cell>
          <cell r="E153">
            <v>39052</v>
          </cell>
          <cell r="F153" t="str">
            <v/>
          </cell>
          <cell r="G153">
            <v>4400000</v>
          </cell>
          <cell r="H153" t="str">
            <v>New Line- Build tie line between Wordward District and Iodine, relieve OL on OGE Woodward District to WFEC Woodward 138kV line for the outage of WindFarm to WFEC Mooreland line.  </v>
          </cell>
          <cell r="I153" t="str">
            <v>Violates the (n-1) condition as specified in NERC TPL-002-0 &amp; SPP Criteria 3.4.</v>
          </cell>
        </row>
        <row r="154">
          <cell r="A154" t="str">
            <v>Multi - Sapulpa 345 kV Expansion</v>
          </cell>
          <cell r="B154" t="str">
            <v>OKGE</v>
          </cell>
          <cell r="C154" t="str">
            <v>PR/EXP</v>
          </cell>
          <cell r="D154" t="str">
            <v>9</v>
          </cell>
          <cell r="E154">
            <v>40330</v>
          </cell>
          <cell r="F154" t="str">
            <v/>
          </cell>
          <cell r="G154">
            <v>15000000</v>
          </cell>
          <cell r="H154" t="str">
            <v>New Sapulpa EHV sub with 345/138kV transformer</v>
          </cell>
          <cell r="I154" t="str">
            <v/>
          </cell>
        </row>
        <row r="155">
          <cell r="A155" t="str">
            <v>XFR - Draper 345/138 kV Ckt 3</v>
          </cell>
          <cell r="B155" t="str">
            <v>OKGE</v>
          </cell>
          <cell r="C155" t="str">
            <v>PL</v>
          </cell>
          <cell r="D155" t="str">
            <v>2b</v>
          </cell>
          <cell r="E155">
            <v>38469</v>
          </cell>
          <cell r="F155">
            <v>39234</v>
          </cell>
          <cell r="G155">
            <v>9500000</v>
          </cell>
          <cell r="H155" t="str">
            <v/>
          </cell>
          <cell r="I155" t="str">
            <v>To satisfy FERC oder to buy McClain Power Plant.</v>
          </cell>
        </row>
        <row r="156">
          <cell r="A156" t="str">
            <v>XFR - Draper 345/138 kV CT Upgrade</v>
          </cell>
          <cell r="B156" t="str">
            <v>OKGE</v>
          </cell>
          <cell r="C156" t="str">
            <v>PL</v>
          </cell>
          <cell r="D156" t="str">
            <v>1</v>
          </cell>
          <cell r="E156">
            <v>38200</v>
          </cell>
          <cell r="F156" t="str">
            <v/>
          </cell>
          <cell r="G156">
            <v>8000</v>
          </cell>
          <cell r="H156" t="str">
            <v>Upgrade CT</v>
          </cell>
          <cell r="I156" t="str">
            <v/>
          </cell>
        </row>
        <row r="157">
          <cell r="A157" t="str">
            <v>XFR - Fort Smith 500/161 kV</v>
          </cell>
          <cell r="B157" t="str">
            <v>OKGE</v>
          </cell>
          <cell r="C157" t="str">
            <v>PL</v>
          </cell>
          <cell r="D157" t="str">
            <v>1</v>
          </cell>
          <cell r="E157">
            <v>38261</v>
          </cell>
          <cell r="F157" t="str">
            <v/>
          </cell>
          <cell r="G157">
            <v>7500000</v>
          </cell>
          <cell r="H157" t="str">
            <v>entered by KG form IDEV submitted</v>
          </cell>
          <cell r="I157" t="str">
            <v/>
          </cell>
        </row>
        <row r="158">
          <cell r="A158" t="str">
            <v>XFR - Little Spadra 161/69 kV</v>
          </cell>
          <cell r="B158" t="str">
            <v>OKGE</v>
          </cell>
          <cell r="C158" t="str">
            <v>PL</v>
          </cell>
          <cell r="D158" t="str">
            <v>1</v>
          </cell>
          <cell r="E158">
            <v>38352</v>
          </cell>
          <cell r="F158" t="str">
            <v/>
          </cell>
          <cell r="G158">
            <v>1300000</v>
          </cell>
          <cell r="H158" t="str">
            <v/>
          </cell>
          <cell r="I158" t="str">
            <v/>
          </cell>
        </row>
        <row r="159">
          <cell r="A159" t="str">
            <v>XFR - NE Enid 138/69 kV</v>
          </cell>
          <cell r="B159" t="str">
            <v>OKGE</v>
          </cell>
          <cell r="C159" t="str">
            <v>PL</v>
          </cell>
          <cell r="D159" t="str">
            <v>1</v>
          </cell>
          <cell r="E159">
            <v>37986</v>
          </cell>
          <cell r="F159" t="str">
            <v/>
          </cell>
          <cell r="G159">
            <v>2200000</v>
          </cell>
          <cell r="H159" t="str">
            <v/>
          </cell>
          <cell r="I159" t="str">
            <v/>
          </cell>
        </row>
        <row r="160">
          <cell r="A160" t="str">
            <v>Device - Carter Jct</v>
          </cell>
          <cell r="B160" t="str">
            <v>WFEC</v>
          </cell>
          <cell r="C160" t="str">
            <v>X</v>
          </cell>
          <cell r="D160" t="str">
            <v>1</v>
          </cell>
          <cell r="E160">
            <v>38504</v>
          </cell>
          <cell r="F160">
            <v>38504</v>
          </cell>
          <cell r="G160">
            <v>162000</v>
          </cell>
          <cell r="H160" t="str">
            <v>Install switched cap</v>
          </cell>
          <cell r="I160" t="str">
            <v>Low Voltage around Carter for outage of Elk City XF</v>
          </cell>
        </row>
        <row r="161">
          <cell r="A161" t="str">
            <v>Device - Dover</v>
          </cell>
          <cell r="B161" t="str">
            <v>WFEC</v>
          </cell>
          <cell r="C161" t="str">
            <v>X</v>
          </cell>
          <cell r="D161" t="str">
            <v>2a</v>
          </cell>
          <cell r="E161">
            <v>38869</v>
          </cell>
          <cell r="F161">
            <v>38869</v>
          </cell>
          <cell r="G161">
            <v>90000</v>
          </cell>
          <cell r="H161" t="str">
            <v>Install switched cap</v>
          </cell>
          <cell r="I161" t="str">
            <v>Low Voltage around Dover for loss of Dover XF</v>
          </cell>
        </row>
        <row r="162">
          <cell r="A162" t="str">
            <v>Device - Marietta</v>
          </cell>
          <cell r="B162" t="str">
            <v>WFEC</v>
          </cell>
          <cell r="C162" t="str">
            <v>X</v>
          </cell>
          <cell r="D162" t="str">
            <v>1</v>
          </cell>
          <cell r="E162">
            <v>38504</v>
          </cell>
          <cell r="F162">
            <v>38504</v>
          </cell>
          <cell r="G162">
            <v>180000</v>
          </cell>
          <cell r="H162" t="str">
            <v>Install switched cap</v>
          </cell>
          <cell r="I162" t="str">
            <v>Low voltage around Marieta for Caney Creek - Texoma Jct 138 kV Outage</v>
          </cell>
        </row>
        <row r="163">
          <cell r="A163" t="str">
            <v>Line - Elk City - Elk City 69 kV</v>
          </cell>
          <cell r="B163" t="str">
            <v>WFEC</v>
          </cell>
          <cell r="C163" t="str">
            <v>X</v>
          </cell>
          <cell r="D163" t="str">
            <v>1</v>
          </cell>
          <cell r="E163">
            <v>38504</v>
          </cell>
          <cell r="F163">
            <v>38504</v>
          </cell>
          <cell r="G163">
            <v>380000</v>
          </cell>
          <cell r="H163" t="str">
            <v>Reconductor line</v>
          </cell>
          <cell r="I163" t="str">
            <v>Elk  City-Elk City over load for outage of Hobart Jct-Tamar Tap 138 kV</v>
          </cell>
        </row>
        <row r="164">
          <cell r="A164" t="str">
            <v>Line - Midwest Tap - Franklin SW 138 kV</v>
          </cell>
          <cell r="B164" t="str">
            <v>WFEC</v>
          </cell>
          <cell r="C164" t="str">
            <v>AA</v>
          </cell>
          <cell r="D164" t="str">
            <v>1</v>
          </cell>
          <cell r="E164">
            <v>38504</v>
          </cell>
          <cell r="F164" t="str">
            <v/>
          </cell>
          <cell r="G164">
            <v>24000</v>
          </cell>
          <cell r="H164" t="str">
            <v>Upgrade Wave Trap (800-&gt;2000A) - Line is tie line between OGE &amp; WFEC. Replace 800 amp wavetrap with 2000 amp wavetrap at Franklin Switch and 795ACSR jumpers with 1590ACSR, connectors.  Next limit is two breakers and disconnect switches at Franklin.</v>
          </cell>
          <cell r="I164" t="str">
            <v>Attachment AA Upgrade</v>
          </cell>
        </row>
        <row r="165">
          <cell r="A165" t="str">
            <v>XFR - Russell - Russell 138/69 kV</v>
          </cell>
          <cell r="B165" t="str">
            <v>WFEC</v>
          </cell>
          <cell r="C165" t="str">
            <v>X</v>
          </cell>
          <cell r="D165" t="str">
            <v>1</v>
          </cell>
          <cell r="E165">
            <v>38504</v>
          </cell>
          <cell r="F165">
            <v>38504</v>
          </cell>
          <cell r="G165">
            <v>620000</v>
          </cell>
          <cell r="H165" t="str">
            <v>Replace 25MVA XF at Russell with 62MVA</v>
          </cell>
          <cell r="I165" t="str">
            <v>To address overload of Russell XF for Andarko - Paradise outage</v>
          </cell>
        </row>
        <row r="166">
          <cell r="A166" t="str">
            <v>Device - Amerada Hess</v>
          </cell>
          <cell r="B166" t="str">
            <v>SWPS</v>
          </cell>
          <cell r="C166" t="str">
            <v>X</v>
          </cell>
          <cell r="D166" t="str">
            <v>1</v>
          </cell>
          <cell r="E166">
            <v>38504</v>
          </cell>
          <cell r="F166">
            <v>38504</v>
          </cell>
          <cell r="G166">
            <v>250000</v>
          </cell>
          <cell r="H166" t="str">
            <v>14.4 Mvar caps proposed for the Amerada 115 kV bus</v>
          </cell>
          <cell r="I166" t="str">
            <v>To address low voltages on Doss 115 kV for loss of Amerada-Doss 115 kV line and others</v>
          </cell>
        </row>
        <row r="167">
          <cell r="A167" t="str">
            <v>Device - Artesia</v>
          </cell>
          <cell r="B167" t="str">
            <v>SWPS</v>
          </cell>
          <cell r="C167" t="str">
            <v>PR/EXP</v>
          </cell>
          <cell r="D167" t="str">
            <v>9</v>
          </cell>
          <cell r="E167">
            <v>47270</v>
          </cell>
          <cell r="F167" t="str">
            <v/>
          </cell>
          <cell r="G167" t="str">
            <v/>
          </cell>
          <cell r="H167" t="str">
            <v>Being considered</v>
          </cell>
          <cell r="I167" t="str">
            <v/>
          </cell>
        </row>
        <row r="168">
          <cell r="A168" t="str">
            <v>Device - Boardman Sub</v>
          </cell>
          <cell r="B168" t="str">
            <v>SWPS</v>
          </cell>
          <cell r="C168" t="str">
            <v>PR/EXP</v>
          </cell>
          <cell r="D168" t="str">
            <v>9</v>
          </cell>
          <cell r="E168">
            <v>37974</v>
          </cell>
          <cell r="F168" t="str">
            <v/>
          </cell>
          <cell r="G168">
            <v>250000</v>
          </cell>
          <cell r="H168" t="str">
            <v/>
          </cell>
          <cell r="I168" t="str">
            <v/>
          </cell>
        </row>
        <row r="169">
          <cell r="A169" t="str">
            <v>Device - Carlisle Interchange</v>
          </cell>
          <cell r="B169" t="str">
            <v>SWPS</v>
          </cell>
          <cell r="C169" t="str">
            <v/>
          </cell>
          <cell r="D169" t="str">
            <v>99</v>
          </cell>
          <cell r="E169">
            <v>39234</v>
          </cell>
          <cell r="F169" t="str">
            <v/>
          </cell>
          <cell r="G169" t="str">
            <v/>
          </cell>
          <cell r="H169" t="str">
            <v>50 MVAR Shunt Capacitors on 230 kV bus at Carlisle</v>
          </cell>
          <cell r="I169" t="str">
            <v/>
          </cell>
        </row>
        <row r="170">
          <cell r="A170" t="str">
            <v>Device - Carlsbad</v>
          </cell>
          <cell r="B170" t="str">
            <v>SWPS</v>
          </cell>
          <cell r="C170" t="str">
            <v>PR/EXP</v>
          </cell>
          <cell r="D170" t="str">
            <v>9</v>
          </cell>
          <cell r="E170">
            <v>47270</v>
          </cell>
          <cell r="F170" t="str">
            <v/>
          </cell>
          <cell r="G170" t="str">
            <v/>
          </cell>
          <cell r="H170" t="str">
            <v>Being considered</v>
          </cell>
          <cell r="I170" t="str">
            <v/>
          </cell>
        </row>
        <row r="171">
          <cell r="A171" t="str">
            <v>Device - Chaves</v>
          </cell>
          <cell r="B171" t="str">
            <v>SWPS</v>
          </cell>
          <cell r="C171" t="str">
            <v>X</v>
          </cell>
          <cell r="D171" t="str">
            <v>1</v>
          </cell>
          <cell r="E171">
            <v>38504</v>
          </cell>
          <cell r="F171">
            <v>38504</v>
          </cell>
          <cell r="G171">
            <v>1000000</v>
          </cell>
          <cell r="H171" t="str">
            <v>50 Mvar caps proposed at 230 kV bus</v>
          </cell>
          <cell r="I171" t="str">
            <v>To address several low voltages at Chaves 230 kV bus for loss of several facilities around Eddy County</v>
          </cell>
        </row>
        <row r="172">
          <cell r="A172" t="str">
            <v>Device - Cottonwood</v>
          </cell>
          <cell r="B172" t="str">
            <v>SWPS</v>
          </cell>
          <cell r="C172" t="str">
            <v>PR/EXP</v>
          </cell>
          <cell r="D172" t="str">
            <v>9</v>
          </cell>
          <cell r="E172">
            <v>47270</v>
          </cell>
          <cell r="F172" t="str">
            <v/>
          </cell>
          <cell r="G172" t="str">
            <v/>
          </cell>
          <cell r="H172" t="str">
            <v>Being considered</v>
          </cell>
          <cell r="I172" t="str">
            <v/>
          </cell>
        </row>
        <row r="173">
          <cell r="A173" t="str">
            <v>Device - Cox</v>
          </cell>
          <cell r="B173" t="str">
            <v>SWPS</v>
          </cell>
          <cell r="C173" t="str">
            <v>PR/EXP</v>
          </cell>
          <cell r="D173" t="str">
            <v>9</v>
          </cell>
          <cell r="E173">
            <v>47270</v>
          </cell>
          <cell r="F173" t="str">
            <v/>
          </cell>
          <cell r="G173" t="str">
            <v/>
          </cell>
          <cell r="H173" t="str">
            <v>Being considered</v>
          </cell>
          <cell r="I173" t="str">
            <v/>
          </cell>
        </row>
        <row r="174">
          <cell r="A174" t="str">
            <v>Device - Crosby</v>
          </cell>
          <cell r="B174" t="str">
            <v>SWPS</v>
          </cell>
          <cell r="C174" t="str">
            <v>PR/EXP</v>
          </cell>
          <cell r="D174" t="str">
            <v>9</v>
          </cell>
          <cell r="E174">
            <v>47270</v>
          </cell>
          <cell r="F174" t="str">
            <v/>
          </cell>
          <cell r="G174" t="str">
            <v/>
          </cell>
          <cell r="H174" t="str">
            <v>Being considered</v>
          </cell>
          <cell r="I174" t="str">
            <v/>
          </cell>
        </row>
        <row r="175">
          <cell r="A175" t="str">
            <v>Device - Curry</v>
          </cell>
          <cell r="B175" t="str">
            <v>SWPS</v>
          </cell>
          <cell r="C175" t="str">
            <v>X</v>
          </cell>
          <cell r="D175" t="str">
            <v>2a</v>
          </cell>
          <cell r="E175">
            <v>39448</v>
          </cell>
          <cell r="F175" t="str">
            <v/>
          </cell>
          <cell r="G175">
            <v>0</v>
          </cell>
          <cell r="H175" t="str">
            <v>Relocate Load to Curry 115 kV bus (51176)</v>
          </cell>
          <cell r="I175" t="str">
            <v>To address Curry 115/69 KV xfr 1 overload for loss Curry 115/69 kV xfr 2, and vice versa</v>
          </cell>
        </row>
        <row r="176">
          <cell r="A176" t="str">
            <v>Device - Dallam Sub</v>
          </cell>
          <cell r="B176" t="str">
            <v>SWPS</v>
          </cell>
          <cell r="C176" t="str">
            <v>PL</v>
          </cell>
          <cell r="D176" t="str">
            <v>1</v>
          </cell>
          <cell r="E176">
            <v>38504</v>
          </cell>
          <cell r="F176" t="str">
            <v/>
          </cell>
          <cell r="G176">
            <v>850000</v>
          </cell>
          <cell r="H176" t="str">
            <v/>
          </cell>
          <cell r="I176" t="str">
            <v/>
          </cell>
        </row>
        <row r="177">
          <cell r="A177" t="str">
            <v>Device - Dexter</v>
          </cell>
          <cell r="B177" t="str">
            <v>SWPS</v>
          </cell>
          <cell r="C177" t="str">
            <v>PR/EXP</v>
          </cell>
          <cell r="D177" t="str">
            <v>9</v>
          </cell>
          <cell r="E177">
            <v>47270</v>
          </cell>
          <cell r="F177" t="str">
            <v/>
          </cell>
          <cell r="G177" t="str">
            <v/>
          </cell>
          <cell r="H177" t="str">
            <v>Being considered</v>
          </cell>
          <cell r="I177" t="str">
            <v/>
          </cell>
        </row>
        <row r="178">
          <cell r="A178" t="str">
            <v>Device - Doss</v>
          </cell>
          <cell r="B178" t="str">
            <v>SWPS</v>
          </cell>
          <cell r="C178" t="str">
            <v>X</v>
          </cell>
          <cell r="D178" t="str">
            <v>1</v>
          </cell>
          <cell r="E178">
            <v>38504</v>
          </cell>
          <cell r="F178">
            <v>38504</v>
          </cell>
          <cell r="G178">
            <v>300000</v>
          </cell>
          <cell r="H178" t="str">
            <v>Install 2 7.2 Mvar caps</v>
          </cell>
          <cell r="I178" t="str">
            <v>To address low voltages on Doss 115 kV for loss of Amerada-Doss 115 kV line and others</v>
          </cell>
        </row>
        <row r="179">
          <cell r="A179" t="str">
            <v>Device - Finney</v>
          </cell>
          <cell r="B179" t="str">
            <v>SWPS</v>
          </cell>
          <cell r="C179" t="str">
            <v>PL</v>
          </cell>
          <cell r="D179" t="str">
            <v>1</v>
          </cell>
          <cell r="E179">
            <v>38352</v>
          </cell>
          <cell r="F179" t="str">
            <v/>
          </cell>
          <cell r="G179">
            <v>1000000</v>
          </cell>
          <cell r="H179" t="str">
            <v>Finney-Lamar Project</v>
          </cell>
          <cell r="I179" t="str">
            <v/>
          </cell>
        </row>
        <row r="180">
          <cell r="A180" t="str">
            <v>Device - Happy</v>
          </cell>
          <cell r="B180" t="str">
            <v>SWPS</v>
          </cell>
          <cell r="C180" t="str">
            <v>PR/EXP</v>
          </cell>
          <cell r="D180" t="str">
            <v>9</v>
          </cell>
          <cell r="E180">
            <v>47270</v>
          </cell>
          <cell r="F180" t="str">
            <v/>
          </cell>
          <cell r="G180" t="str">
            <v/>
          </cell>
          <cell r="H180" t="str">
            <v>Being considered</v>
          </cell>
          <cell r="I180" t="str">
            <v/>
          </cell>
        </row>
        <row r="181">
          <cell r="A181" t="str">
            <v>Device - Lamar</v>
          </cell>
          <cell r="B181" t="str">
            <v>SWPS</v>
          </cell>
          <cell r="C181" t="str">
            <v>PL</v>
          </cell>
          <cell r="D181" t="str">
            <v>1</v>
          </cell>
          <cell r="E181">
            <v>38352</v>
          </cell>
          <cell r="F181" t="str">
            <v/>
          </cell>
          <cell r="G181">
            <v>40000000</v>
          </cell>
          <cell r="H181" t="str">
            <v>HVDC</v>
          </cell>
          <cell r="I181" t="str">
            <v/>
          </cell>
        </row>
        <row r="182">
          <cell r="A182" t="str">
            <v>Device - Lamar</v>
          </cell>
          <cell r="B182" t="str">
            <v>SWPS</v>
          </cell>
          <cell r="C182" t="str">
            <v>PL</v>
          </cell>
          <cell r="D182" t="str">
            <v>1</v>
          </cell>
          <cell r="E182">
            <v>38352</v>
          </cell>
          <cell r="F182" t="str">
            <v/>
          </cell>
          <cell r="G182">
            <v>1000000</v>
          </cell>
          <cell r="H182" t="str">
            <v>Finney-Lamar Project</v>
          </cell>
          <cell r="I182" t="str">
            <v/>
          </cell>
        </row>
        <row r="183">
          <cell r="A183" t="str">
            <v>Device - Lamton</v>
          </cell>
          <cell r="B183" t="str">
            <v>SWPS</v>
          </cell>
          <cell r="C183" t="str">
            <v>PR/EXP</v>
          </cell>
          <cell r="D183" t="str">
            <v>9</v>
          </cell>
          <cell r="E183">
            <v>47270</v>
          </cell>
          <cell r="F183" t="str">
            <v/>
          </cell>
          <cell r="G183" t="str">
            <v/>
          </cell>
          <cell r="H183" t="str">
            <v>Being considered</v>
          </cell>
          <cell r="I183" t="str">
            <v/>
          </cell>
        </row>
        <row r="184">
          <cell r="A184" t="str">
            <v>Device - Lea Road</v>
          </cell>
          <cell r="B184" t="str">
            <v>SWPS</v>
          </cell>
          <cell r="C184" t="str">
            <v>PR/EXP</v>
          </cell>
          <cell r="D184" t="str">
            <v>9</v>
          </cell>
          <cell r="E184">
            <v>47270</v>
          </cell>
          <cell r="F184" t="str">
            <v/>
          </cell>
          <cell r="G184" t="str">
            <v/>
          </cell>
          <cell r="H184" t="str">
            <v>Being considered</v>
          </cell>
          <cell r="I184" t="str">
            <v/>
          </cell>
        </row>
        <row r="185">
          <cell r="A185" t="str">
            <v>Device - Lubbock South Interchange</v>
          </cell>
          <cell r="B185" t="str">
            <v>SWPS</v>
          </cell>
          <cell r="C185" t="str">
            <v/>
          </cell>
          <cell r="D185" t="str">
            <v>99</v>
          </cell>
          <cell r="E185">
            <v>39234</v>
          </cell>
          <cell r="F185" t="str">
            <v/>
          </cell>
          <cell r="G185" t="str">
            <v/>
          </cell>
          <cell r="H185" t="str">
            <v>50 MVAR Shunt Capacitors on 230 kV bus at Lubbock South</v>
          </cell>
          <cell r="I185" t="str">
            <v/>
          </cell>
        </row>
        <row r="186">
          <cell r="A186" t="str">
            <v>Device - Moore</v>
          </cell>
          <cell r="B186" t="str">
            <v>SWPS</v>
          </cell>
          <cell r="C186" t="str">
            <v>X</v>
          </cell>
          <cell r="D186" t="str">
            <v>6a</v>
          </cell>
          <cell r="E186">
            <v>39448</v>
          </cell>
          <cell r="F186" t="str">
            <v/>
          </cell>
          <cell r="G186">
            <v>0</v>
          </cell>
          <cell r="H186" t="str">
            <v>Relocate Load to Moore 115 kV bus (50664)</v>
          </cell>
          <cell r="I186" t="str">
            <v>To address Moore West 115/69 KV overload for loss Moore East 115/69 kV transformer, and vice versa</v>
          </cell>
        </row>
        <row r="187">
          <cell r="A187" t="str">
            <v>Device - Owens Corning</v>
          </cell>
          <cell r="B187" t="str">
            <v>SWPS</v>
          </cell>
          <cell r="C187" t="str">
            <v>PL</v>
          </cell>
          <cell r="D187" t="str">
            <v>1</v>
          </cell>
          <cell r="E187">
            <v>38078</v>
          </cell>
          <cell r="F187" t="str">
            <v/>
          </cell>
          <cell r="G187">
            <v>800000</v>
          </cell>
          <cell r="H187" t="str">
            <v>Part of Amarillo South Project</v>
          </cell>
          <cell r="I187" t="str">
            <v/>
          </cell>
        </row>
        <row r="188">
          <cell r="A188" t="str">
            <v>Device - Potash Junction</v>
          </cell>
          <cell r="B188" t="str">
            <v>SWPS</v>
          </cell>
          <cell r="C188" t="str">
            <v>PR/EXP</v>
          </cell>
          <cell r="D188" t="str">
            <v>9</v>
          </cell>
          <cell r="E188">
            <v>47270</v>
          </cell>
          <cell r="F188" t="str">
            <v/>
          </cell>
          <cell r="G188" t="str">
            <v/>
          </cell>
          <cell r="H188" t="str">
            <v>Being considered</v>
          </cell>
          <cell r="I188" t="str">
            <v/>
          </cell>
        </row>
        <row r="189">
          <cell r="A189" t="str">
            <v>Device - Seven Rivers</v>
          </cell>
          <cell r="B189" t="str">
            <v>SWPS</v>
          </cell>
          <cell r="C189" t="str">
            <v>PL</v>
          </cell>
          <cell r="D189" t="str">
            <v>1</v>
          </cell>
          <cell r="E189">
            <v>38352</v>
          </cell>
          <cell r="F189" t="str">
            <v/>
          </cell>
          <cell r="G189">
            <v>550000</v>
          </cell>
          <cell r="H189" t="str">
            <v/>
          </cell>
          <cell r="I189" t="str">
            <v/>
          </cell>
        </row>
        <row r="190">
          <cell r="A190" t="str">
            <v>Device - Swisher</v>
          </cell>
          <cell r="B190" t="str">
            <v>SWPS</v>
          </cell>
          <cell r="C190" t="str">
            <v>PR/EXP</v>
          </cell>
          <cell r="D190" t="str">
            <v>9</v>
          </cell>
          <cell r="E190">
            <v>47270</v>
          </cell>
          <cell r="F190" t="str">
            <v/>
          </cell>
          <cell r="G190" t="str">
            <v/>
          </cell>
          <cell r="H190" t="str">
            <v>Being considered</v>
          </cell>
          <cell r="I190" t="str">
            <v/>
          </cell>
        </row>
        <row r="191">
          <cell r="A191" t="str">
            <v>Device - Taylor</v>
          </cell>
          <cell r="B191" t="str">
            <v>SWPS</v>
          </cell>
          <cell r="C191" t="str">
            <v>PR/EXP</v>
          </cell>
          <cell r="D191" t="str">
            <v>9</v>
          </cell>
          <cell r="E191">
            <v>47270</v>
          </cell>
          <cell r="F191" t="str">
            <v/>
          </cell>
          <cell r="G191" t="str">
            <v/>
          </cell>
          <cell r="H191" t="str">
            <v>Being considered</v>
          </cell>
          <cell r="I191" t="str">
            <v/>
          </cell>
        </row>
        <row r="192">
          <cell r="A192" t="str">
            <v>Device - Tuco</v>
          </cell>
          <cell r="B192" t="str">
            <v>SWPS</v>
          </cell>
          <cell r="C192" t="str">
            <v>PR/EXP</v>
          </cell>
          <cell r="D192" t="str">
            <v>9</v>
          </cell>
          <cell r="E192">
            <v>47270</v>
          </cell>
          <cell r="F192" t="str">
            <v/>
          </cell>
          <cell r="G192" t="str">
            <v/>
          </cell>
          <cell r="H192" t="str">
            <v>Being considered</v>
          </cell>
          <cell r="I192" t="str">
            <v/>
          </cell>
        </row>
        <row r="193">
          <cell r="A193" t="str">
            <v>Device - Tuco Interchange</v>
          </cell>
          <cell r="B193" t="str">
            <v>SWPS</v>
          </cell>
          <cell r="C193" t="str">
            <v/>
          </cell>
          <cell r="D193" t="str">
            <v>99</v>
          </cell>
          <cell r="E193">
            <v>39234</v>
          </cell>
          <cell r="F193" t="str">
            <v/>
          </cell>
          <cell r="G193" t="str">
            <v/>
          </cell>
          <cell r="H193" t="str">
            <v>2 50 MVAR Shunt Capacitors on 230 kV bus at TUCO</v>
          </cell>
          <cell r="I193" t="str">
            <v/>
          </cell>
        </row>
        <row r="194">
          <cell r="A194" t="str">
            <v>Device - Tuco Interchange</v>
          </cell>
          <cell r="B194" t="str">
            <v>SWPS</v>
          </cell>
          <cell r="C194" t="str">
            <v/>
          </cell>
          <cell r="D194" t="str">
            <v>99</v>
          </cell>
          <cell r="E194">
            <v>39600</v>
          </cell>
          <cell r="F194" t="str">
            <v/>
          </cell>
          <cell r="G194" t="str">
            <v/>
          </cell>
          <cell r="H194" t="str">
            <v>Add +150/-50 SVC on 230 kV bus at TUCO</v>
          </cell>
          <cell r="I194" t="str">
            <v/>
          </cell>
        </row>
        <row r="195">
          <cell r="A195" t="str">
            <v>Device - West Hobbs</v>
          </cell>
          <cell r="B195" t="str">
            <v>SWPS</v>
          </cell>
          <cell r="C195" t="str">
            <v>PR/EXP</v>
          </cell>
          <cell r="D195" t="str">
            <v>9</v>
          </cell>
          <cell r="E195">
            <v>47270</v>
          </cell>
          <cell r="F195" t="str">
            <v/>
          </cell>
          <cell r="G195" t="str">
            <v/>
          </cell>
          <cell r="H195" t="str">
            <v>Being considered</v>
          </cell>
          <cell r="I195" t="str">
            <v/>
          </cell>
        </row>
        <row r="196">
          <cell r="A196" t="str">
            <v>Device - Wolfforth</v>
          </cell>
          <cell r="B196" t="str">
            <v>SWPS</v>
          </cell>
          <cell r="C196" t="str">
            <v>PR/EXP</v>
          </cell>
          <cell r="D196" t="str">
            <v>9</v>
          </cell>
          <cell r="E196">
            <v>47270</v>
          </cell>
          <cell r="F196" t="str">
            <v/>
          </cell>
          <cell r="G196" t="str">
            <v/>
          </cell>
          <cell r="H196" t="str">
            <v>Being considered</v>
          </cell>
          <cell r="I196" t="str">
            <v/>
          </cell>
        </row>
        <row r="197">
          <cell r="A197" t="str">
            <v>Gen - Cielo Caprock</v>
          </cell>
          <cell r="B197" t="str">
            <v>SWPS</v>
          </cell>
          <cell r="C197" t="str">
            <v>PR/EXP</v>
          </cell>
          <cell r="D197" t="str">
            <v>9</v>
          </cell>
          <cell r="E197">
            <v>38231</v>
          </cell>
          <cell r="F197" t="str">
            <v/>
          </cell>
          <cell r="G197" t="str">
            <v/>
          </cell>
          <cell r="H197" t="str">
            <v/>
          </cell>
          <cell r="I197" t="str">
            <v/>
          </cell>
        </row>
        <row r="198">
          <cell r="A198" t="str">
            <v>Gen - Jones 3 (Phantom)</v>
          </cell>
          <cell r="B198" t="str">
            <v>SWPS</v>
          </cell>
          <cell r="C198" t="str">
            <v>PR/EXP</v>
          </cell>
          <cell r="D198" t="str">
            <v>9</v>
          </cell>
          <cell r="E198">
            <v>38352</v>
          </cell>
          <cell r="F198" t="str">
            <v/>
          </cell>
          <cell r="G198" t="str">
            <v/>
          </cell>
          <cell r="H198" t="str">
            <v>In all models - But not used </v>
          </cell>
          <cell r="I198" t="str">
            <v/>
          </cell>
        </row>
        <row r="199">
          <cell r="A199" t="str">
            <v>Gen - San Juan Mesa</v>
          </cell>
          <cell r="B199" t="str">
            <v>SWPS</v>
          </cell>
          <cell r="C199" t="str">
            <v>OOC</v>
          </cell>
          <cell r="D199" t="str">
            <v>9</v>
          </cell>
          <cell r="E199">
            <v>38717</v>
          </cell>
          <cell r="F199" t="str">
            <v/>
          </cell>
          <cell r="G199" t="str">
            <v/>
          </cell>
          <cell r="H199" t="str">
            <v>Wind Farms</v>
          </cell>
          <cell r="I199" t="str">
            <v/>
          </cell>
        </row>
        <row r="200">
          <cell r="A200" t="str">
            <v>Gen - Tolk 3 (Phantom)</v>
          </cell>
          <cell r="B200" t="str">
            <v>SWPS</v>
          </cell>
          <cell r="C200" t="str">
            <v>PR/EXP</v>
          </cell>
          <cell r="D200" t="str">
            <v>9</v>
          </cell>
          <cell r="E200">
            <v>38352</v>
          </cell>
          <cell r="F200" t="str">
            <v/>
          </cell>
          <cell r="G200" t="str">
            <v/>
          </cell>
          <cell r="H200" t="str">
            <v>In all models - used in 10SP</v>
          </cell>
          <cell r="I200" t="str">
            <v/>
          </cell>
        </row>
        <row r="201">
          <cell r="A201" t="str">
            <v>Gen - Tolk 4 (Phantom)</v>
          </cell>
          <cell r="B201" t="str">
            <v>SWPS</v>
          </cell>
          <cell r="C201" t="str">
            <v>PR/EXP</v>
          </cell>
          <cell r="D201" t="str">
            <v>9</v>
          </cell>
          <cell r="E201">
            <v>38352</v>
          </cell>
          <cell r="F201" t="str">
            <v/>
          </cell>
          <cell r="G201" t="str">
            <v/>
          </cell>
          <cell r="H201" t="str">
            <v>In all models - But not used</v>
          </cell>
          <cell r="I201" t="str">
            <v/>
          </cell>
        </row>
        <row r="202">
          <cell r="A202" t="str">
            <v>Gen - Wildorado</v>
          </cell>
          <cell r="B202" t="str">
            <v>SWPS</v>
          </cell>
          <cell r="C202" t="str">
            <v>OOC</v>
          </cell>
          <cell r="D202" t="str">
            <v>9</v>
          </cell>
          <cell r="E202">
            <v>38717</v>
          </cell>
          <cell r="F202" t="str">
            <v/>
          </cell>
          <cell r="G202" t="str">
            <v/>
          </cell>
          <cell r="H202" t="str">
            <v>Wind Farms</v>
          </cell>
          <cell r="I202" t="str">
            <v/>
          </cell>
        </row>
        <row r="203">
          <cell r="A203" t="str">
            <v>Line - Ben Wheeler - Barton's Chapel (Rayburn) 138 kV Ckt 1</v>
          </cell>
          <cell r="B203" t="str">
            <v>SWPS</v>
          </cell>
          <cell r="C203" t="str">
            <v/>
          </cell>
          <cell r="D203" t="str">
            <v>99</v>
          </cell>
          <cell r="E203">
            <v>39234</v>
          </cell>
          <cell r="F203" t="str">
            <v/>
          </cell>
          <cell r="G203" t="str">
            <v/>
          </cell>
          <cell r="H203" t="str">
            <v>Rayburn Project Build Ben Wheeler to Barton Chapel 138 kV</v>
          </cell>
          <cell r="I203" t="str">
            <v/>
          </cell>
        </row>
        <row r="204">
          <cell r="A204" t="str">
            <v>Line - Carlisle - Wolfforth 230 kV</v>
          </cell>
          <cell r="B204" t="str">
            <v>SWPS</v>
          </cell>
          <cell r="C204" t="str">
            <v>PR/EXP</v>
          </cell>
          <cell r="D204" t="str">
            <v>9</v>
          </cell>
          <cell r="E204">
            <v>39234</v>
          </cell>
          <cell r="F204" t="str">
            <v/>
          </cell>
          <cell r="G204" t="str">
            <v/>
          </cell>
          <cell r="H204" t="str">
            <v>Additional Project being considered</v>
          </cell>
          <cell r="I204" t="str">
            <v/>
          </cell>
        </row>
        <row r="205">
          <cell r="A205" t="str">
            <v>Line - Carlsbad - Fiesta 115 kV</v>
          </cell>
          <cell r="B205" t="str">
            <v>SWPS</v>
          </cell>
          <cell r="C205" t="str">
            <v>PR/EXP</v>
          </cell>
          <cell r="D205" t="str">
            <v>9</v>
          </cell>
          <cell r="E205">
            <v>39539</v>
          </cell>
          <cell r="F205" t="str">
            <v/>
          </cell>
          <cell r="G205" t="str">
            <v/>
          </cell>
          <cell r="H205" t="str">
            <v>Move 115 kV circuit from Carlsbad to Pecos</v>
          </cell>
          <cell r="I205" t="str">
            <v/>
          </cell>
        </row>
        <row r="206">
          <cell r="A206" t="str">
            <v>Line - Clovis - Oasis 230 kV</v>
          </cell>
          <cell r="B206" t="str">
            <v>SWPS</v>
          </cell>
          <cell r="C206" t="str">
            <v>PR/EXP</v>
          </cell>
          <cell r="D206" t="str">
            <v>9</v>
          </cell>
          <cell r="E206">
            <v>47270</v>
          </cell>
          <cell r="F206" t="str">
            <v/>
          </cell>
          <cell r="G206" t="str">
            <v/>
          </cell>
          <cell r="H206" t="str">
            <v>Additional Project being considered</v>
          </cell>
          <cell r="I206" t="str">
            <v/>
          </cell>
        </row>
        <row r="207">
          <cell r="A207" t="str">
            <v>Line - Clovis - Roosevelt 230 kV</v>
          </cell>
          <cell r="B207" t="str">
            <v>SWPS</v>
          </cell>
          <cell r="C207" t="str">
            <v>PR/EXP</v>
          </cell>
          <cell r="D207" t="str">
            <v>9</v>
          </cell>
          <cell r="E207">
            <v>47270</v>
          </cell>
          <cell r="F207" t="str">
            <v/>
          </cell>
          <cell r="G207" t="str">
            <v/>
          </cell>
          <cell r="H207" t="str">
            <v>Additional Project being considered</v>
          </cell>
          <cell r="I207" t="str">
            <v/>
          </cell>
        </row>
        <row r="208">
          <cell r="A208" t="str">
            <v>Line - Coulter - Puckett 115 kV</v>
          </cell>
          <cell r="B208" t="str">
            <v>SWPS</v>
          </cell>
          <cell r="C208" t="str">
            <v>PR/EXP</v>
          </cell>
          <cell r="D208" t="str">
            <v>9</v>
          </cell>
          <cell r="E208">
            <v>39601</v>
          </cell>
          <cell r="F208" t="str">
            <v/>
          </cell>
          <cell r="G208" t="str">
            <v/>
          </cell>
          <cell r="H208" t="str">
            <v>Additional Project being considered</v>
          </cell>
          <cell r="I208" t="str">
            <v/>
          </cell>
        </row>
        <row r="209">
          <cell r="A209" t="str">
            <v>Line - Cox - Floyd 115 kV</v>
          </cell>
          <cell r="B209" t="str">
            <v>SWPS</v>
          </cell>
          <cell r="C209" t="str">
            <v>PL</v>
          </cell>
          <cell r="D209" t="str">
            <v>6d</v>
          </cell>
          <cell r="E209">
            <v>40330</v>
          </cell>
          <cell r="F209" t="str">
            <v/>
          </cell>
          <cell r="G209">
            <v>7150000</v>
          </cell>
          <cell r="H209" t="str">
            <v/>
          </cell>
          <cell r="I209" t="str">
            <v>Provides additional source into Floyd for the loss of the TUCO to Floyd 115 kV circuit.</v>
          </cell>
        </row>
        <row r="210">
          <cell r="A210" t="str">
            <v>Line - Doss - Gaines Intg. 115 kV</v>
          </cell>
          <cell r="B210" t="str">
            <v>SWPS</v>
          </cell>
          <cell r="C210" t="str">
            <v>PR/EXP</v>
          </cell>
          <cell r="D210" t="str">
            <v>9</v>
          </cell>
          <cell r="E210">
            <v>39601</v>
          </cell>
          <cell r="F210" t="str">
            <v/>
          </cell>
          <cell r="G210" t="str">
            <v/>
          </cell>
          <cell r="H210" t="str">
            <v>Additional Project being considered</v>
          </cell>
          <cell r="I210" t="str">
            <v/>
          </cell>
        </row>
        <row r="211">
          <cell r="A211" t="str">
            <v>Line - Dumas - Seaboard Sub 115 kV</v>
          </cell>
          <cell r="B211" t="str">
            <v>SWPS</v>
          </cell>
          <cell r="C211" t="str">
            <v>PR/EXP</v>
          </cell>
          <cell r="D211" t="str">
            <v>9</v>
          </cell>
          <cell r="E211">
            <v>39447</v>
          </cell>
          <cell r="F211" t="str">
            <v/>
          </cell>
          <cell r="G211" t="str">
            <v/>
          </cell>
          <cell r="H211" t="str">
            <v>Possible new load.</v>
          </cell>
          <cell r="I211" t="str">
            <v/>
          </cell>
        </row>
        <row r="212">
          <cell r="A212" t="str">
            <v>Line - Finney - Lamar 345 kV</v>
          </cell>
          <cell r="B212" t="str">
            <v>SWPS</v>
          </cell>
          <cell r="C212" t="str">
            <v>PL</v>
          </cell>
          <cell r="D212" t="str">
            <v>1</v>
          </cell>
          <cell r="E212">
            <v>38352</v>
          </cell>
          <cell r="F212" t="str">
            <v/>
          </cell>
          <cell r="G212">
            <v>45000000</v>
          </cell>
          <cell r="H212" t="str">
            <v>Includes substation estimates</v>
          </cell>
          <cell r="I212" t="str">
            <v/>
          </cell>
        </row>
        <row r="213">
          <cell r="A213" t="str">
            <v>Line - Hillside - Bushland 115 kV</v>
          </cell>
          <cell r="B213" t="str">
            <v>SWPS</v>
          </cell>
          <cell r="C213" t="str">
            <v>PR/EXP</v>
          </cell>
          <cell r="D213" t="str">
            <v>9</v>
          </cell>
          <cell r="E213">
            <v>39234</v>
          </cell>
          <cell r="F213" t="str">
            <v/>
          </cell>
          <cell r="G213" t="str">
            <v/>
          </cell>
          <cell r="H213" t="str">
            <v>New Distribution Station</v>
          </cell>
          <cell r="I213" t="str">
            <v/>
          </cell>
        </row>
        <row r="214">
          <cell r="A214" t="str">
            <v>Line - Hoover - Bowers 115 kV</v>
          </cell>
          <cell r="B214" t="str">
            <v>SWPS</v>
          </cell>
          <cell r="C214" t="str">
            <v>PR/EXP</v>
          </cell>
          <cell r="D214" t="str">
            <v>9</v>
          </cell>
          <cell r="E214">
            <v>39601</v>
          </cell>
          <cell r="F214" t="str">
            <v/>
          </cell>
          <cell r="G214" t="str">
            <v/>
          </cell>
          <cell r="H214" t="str">
            <v>Additional Project being considered</v>
          </cell>
          <cell r="I214" t="str">
            <v/>
          </cell>
        </row>
        <row r="215">
          <cell r="A215" t="str">
            <v>Line - Hoover - Gray County 115 kV</v>
          </cell>
          <cell r="B215" t="str">
            <v>SWPS</v>
          </cell>
          <cell r="C215" t="str">
            <v>PR/EXP</v>
          </cell>
          <cell r="D215" t="str">
            <v>9</v>
          </cell>
          <cell r="E215">
            <v>39601</v>
          </cell>
          <cell r="F215" t="str">
            <v/>
          </cell>
          <cell r="G215" t="str">
            <v/>
          </cell>
          <cell r="H215" t="str">
            <v>Additional Project being considered</v>
          </cell>
          <cell r="I215" t="str">
            <v/>
          </cell>
        </row>
        <row r="216">
          <cell r="A216" t="str">
            <v>Line - Lamb - TUCO 69 kV</v>
          </cell>
          <cell r="B216" t="str">
            <v>SWPS</v>
          </cell>
          <cell r="C216" t="str">
            <v>PL</v>
          </cell>
          <cell r="D216" t="str">
            <v>1</v>
          </cell>
          <cell r="E216">
            <v>38247</v>
          </cell>
          <cell r="F216" t="str">
            <v/>
          </cell>
          <cell r="G216">
            <v>1700000</v>
          </cell>
          <cell r="H216" t="str">
            <v>Reconductor Circuit</v>
          </cell>
          <cell r="I216" t="str">
            <v/>
          </cell>
        </row>
        <row r="217">
          <cell r="A217" t="str">
            <v>Line - Lubbock South - LP&amp;L South Interchange 230 kV</v>
          </cell>
          <cell r="B217" t="str">
            <v>SWPS</v>
          </cell>
          <cell r="C217" t="str">
            <v>PL</v>
          </cell>
          <cell r="D217" t="str">
            <v>1</v>
          </cell>
          <cell r="E217">
            <v>38139</v>
          </cell>
          <cell r="F217" t="str">
            <v/>
          </cell>
          <cell r="G217">
            <v>575000</v>
          </cell>
          <cell r="H217" t="str">
            <v>Use SPS ratings for now</v>
          </cell>
          <cell r="I217" t="str">
            <v/>
          </cell>
        </row>
        <row r="218">
          <cell r="A218" t="str">
            <v>Line - Nichols - Cherry 115 kV</v>
          </cell>
          <cell r="B218" t="str">
            <v>SWPS</v>
          </cell>
          <cell r="C218" t="str">
            <v>PR/EXP</v>
          </cell>
          <cell r="D218" t="str">
            <v>9</v>
          </cell>
          <cell r="E218">
            <v>39202</v>
          </cell>
          <cell r="F218" t="str">
            <v/>
          </cell>
          <cell r="G218" t="str">
            <v/>
          </cell>
          <cell r="H218" t="str">
            <v>Additional Project being considered</v>
          </cell>
          <cell r="I218" t="str">
            <v/>
          </cell>
        </row>
        <row r="219">
          <cell r="A219" t="str">
            <v>Line - Pecos - Fiesta 115 kV</v>
          </cell>
          <cell r="B219" t="str">
            <v>SWPS</v>
          </cell>
          <cell r="C219" t="str">
            <v>PL</v>
          </cell>
          <cell r="D219" t="str">
            <v>6c</v>
          </cell>
          <cell r="E219">
            <v>39539</v>
          </cell>
          <cell r="F219" t="str">
            <v/>
          </cell>
          <cell r="G219">
            <v>200000</v>
          </cell>
          <cell r="H219" t="str">
            <v>Move 115 kV circuit from Carlsbad to Pecos</v>
          </cell>
          <cell r="I219" t="str">
            <v>Moving this load circuit to Pecos will provide additional reliability to the customer for a bus fault.</v>
          </cell>
        </row>
        <row r="220">
          <cell r="A220" t="str">
            <v>Line - Plant X - Hale County 230 kV</v>
          </cell>
          <cell r="B220" t="str">
            <v>SWPS</v>
          </cell>
          <cell r="C220" t="str">
            <v>PR/EXP</v>
          </cell>
          <cell r="D220" t="str">
            <v>9</v>
          </cell>
          <cell r="E220">
            <v>39021</v>
          </cell>
          <cell r="F220" t="str">
            <v/>
          </cell>
          <cell r="G220" t="str">
            <v/>
          </cell>
          <cell r="H220" t="str">
            <v>Additional Project being considered</v>
          </cell>
          <cell r="I220" t="str">
            <v/>
          </cell>
        </row>
        <row r="221">
          <cell r="A221" t="str">
            <v>Line - Potter - Clovis 345 kV</v>
          </cell>
          <cell r="B221" t="str">
            <v>SWPS</v>
          </cell>
          <cell r="C221" t="str">
            <v>PR/EXP</v>
          </cell>
          <cell r="D221" t="str">
            <v>9</v>
          </cell>
          <cell r="E221">
            <v>47270</v>
          </cell>
          <cell r="F221" t="str">
            <v/>
          </cell>
          <cell r="G221" t="str">
            <v/>
          </cell>
          <cell r="H221" t="str">
            <v>Additional Project being considered</v>
          </cell>
          <cell r="I221" t="str">
            <v/>
          </cell>
        </row>
        <row r="222">
          <cell r="A222" t="str">
            <v>Line - Potter - Northwest (OG&amp;E) 345 kV</v>
          </cell>
          <cell r="B222" t="str">
            <v>SWPS</v>
          </cell>
          <cell r="C222" t="str">
            <v>PR/EXP</v>
          </cell>
          <cell r="D222" t="str">
            <v>9</v>
          </cell>
          <cell r="E222">
            <v>39447</v>
          </cell>
          <cell r="F222" t="str">
            <v/>
          </cell>
          <cell r="G222" t="str">
            <v/>
          </cell>
          <cell r="H222" t="str">
            <v/>
          </cell>
          <cell r="I222" t="str">
            <v/>
          </cell>
        </row>
        <row r="223">
          <cell r="A223" t="str">
            <v>Line - Pringle - Moore 230 kV</v>
          </cell>
          <cell r="B223" t="str">
            <v>SWPS</v>
          </cell>
          <cell r="C223" t="str">
            <v>PR/EXP</v>
          </cell>
          <cell r="D223" t="str">
            <v>9</v>
          </cell>
          <cell r="E223">
            <v>47270</v>
          </cell>
          <cell r="F223" t="str">
            <v/>
          </cell>
          <cell r="G223" t="str">
            <v/>
          </cell>
          <cell r="H223" t="str">
            <v>Additional Project being considered</v>
          </cell>
          <cell r="I223" t="str">
            <v/>
          </cell>
        </row>
        <row r="224">
          <cell r="A224" t="str">
            <v>Line - Rockwell Sub - Canyon West 115 kV</v>
          </cell>
          <cell r="B224" t="str">
            <v>SWPS</v>
          </cell>
          <cell r="C224" t="str">
            <v>PR/EXP</v>
          </cell>
          <cell r="D224" t="str">
            <v>9</v>
          </cell>
          <cell r="E224">
            <v>39080</v>
          </cell>
          <cell r="F224" t="str">
            <v/>
          </cell>
          <cell r="G224" t="str">
            <v/>
          </cell>
          <cell r="H224" t="str">
            <v>New Distribution Station for future</v>
          </cell>
          <cell r="I224" t="str">
            <v/>
          </cell>
        </row>
        <row r="225">
          <cell r="A225" t="str">
            <v>Line - Soncy3 - Puckett 115 kV</v>
          </cell>
          <cell r="B225" t="str">
            <v>SWPS</v>
          </cell>
          <cell r="C225" t="str">
            <v>PR/EXP</v>
          </cell>
          <cell r="D225" t="str">
            <v>9</v>
          </cell>
          <cell r="E225">
            <v>39965</v>
          </cell>
          <cell r="F225" t="str">
            <v/>
          </cell>
          <cell r="G225" t="str">
            <v/>
          </cell>
          <cell r="H225" t="str">
            <v>Possible new sub tapped off of existing ckt</v>
          </cell>
          <cell r="I225" t="str">
            <v/>
          </cell>
        </row>
        <row r="226">
          <cell r="A226" t="str">
            <v>Line - Soncy3 - Sunset 115 kV</v>
          </cell>
          <cell r="B226" t="str">
            <v>SWPS</v>
          </cell>
          <cell r="C226" t="str">
            <v>PR/EXP</v>
          </cell>
          <cell r="D226" t="str">
            <v>9</v>
          </cell>
          <cell r="E226">
            <v>39965</v>
          </cell>
          <cell r="F226" t="str">
            <v/>
          </cell>
          <cell r="G226" t="str">
            <v/>
          </cell>
          <cell r="H226" t="str">
            <v>Possible new sub tapped off of existing ckt</v>
          </cell>
          <cell r="I226" t="str">
            <v/>
          </cell>
        </row>
        <row r="227">
          <cell r="A227" t="str">
            <v>Multi - Amarillo South Expansion Projects</v>
          </cell>
          <cell r="B227" t="str">
            <v>SWPS</v>
          </cell>
          <cell r="C227" t="str">
            <v>PL</v>
          </cell>
          <cell r="D227" t="str">
            <v>1</v>
          </cell>
          <cell r="E227">
            <v>38078</v>
          </cell>
          <cell r="F227" t="str">
            <v/>
          </cell>
          <cell r="G227">
            <v>12000000</v>
          </cell>
          <cell r="H227" t="str">
            <v/>
          </cell>
          <cell r="I227" t="str">
            <v/>
          </cell>
        </row>
        <row r="228">
          <cell r="A228" t="str">
            <v>Multi - Amerada Hess - Doss 115 kV &amp; 115/69 kV Trf</v>
          </cell>
          <cell r="B228" t="str">
            <v>SWPS</v>
          </cell>
          <cell r="C228" t="str">
            <v>PL</v>
          </cell>
          <cell r="D228" t="str">
            <v>1</v>
          </cell>
          <cell r="E228">
            <v>38717</v>
          </cell>
          <cell r="F228" t="str">
            <v/>
          </cell>
          <cell r="G228">
            <v>4200000</v>
          </cell>
          <cell r="H228" t="str">
            <v/>
          </cell>
          <cell r="I228" t="str">
            <v>This addition prevents the existing Gains Co 115/69 kV autos from overloading for the loss of the other transformer.</v>
          </cell>
        </row>
        <row r="229">
          <cell r="A229" t="str">
            <v>Multi - Floyd 115/69 kV</v>
          </cell>
          <cell r="B229" t="str">
            <v>SWPS</v>
          </cell>
          <cell r="C229" t="str">
            <v>PL</v>
          </cell>
          <cell r="D229" t="str">
            <v>6d</v>
          </cell>
          <cell r="E229">
            <v>38596</v>
          </cell>
          <cell r="F229" t="str">
            <v/>
          </cell>
          <cell r="G229">
            <v>9500000</v>
          </cell>
          <cell r="H229" t="str">
            <v> </v>
          </cell>
          <cell r="I229" t="str">
            <v>Provides 2nd source into Floyd and Crosby for the loss of the 115 kV circuit between Floyd tap and TUCO Interchange.</v>
          </cell>
        </row>
        <row r="230">
          <cell r="A230" t="str">
            <v>Multi - Georgia - 34th St - Coulter 115 kV</v>
          </cell>
          <cell r="B230" t="str">
            <v>SWPS</v>
          </cell>
          <cell r="C230" t="str">
            <v>PL</v>
          </cell>
          <cell r="D230" t="str">
            <v>6c</v>
          </cell>
          <cell r="E230">
            <v>38596</v>
          </cell>
          <cell r="F230" t="str">
            <v/>
          </cell>
          <cell r="G230">
            <v>2200000</v>
          </cell>
          <cell r="H230" t="str">
            <v/>
          </cell>
          <cell r="I230" t="str">
            <v>Increased reliability - Move 34th St load to 115 kV network and close normally open switch between Georgia and 34th.  115 kV circuit from Georgia-34th-Coulter.</v>
          </cell>
        </row>
        <row r="231">
          <cell r="A231" t="str">
            <v>Multi - Potash - Pecos - Seven Rivers 230 kV &amp; Pecos 230/115 kV</v>
          </cell>
          <cell r="B231" t="str">
            <v>SWPS</v>
          </cell>
          <cell r="C231" t="str">
            <v>PL</v>
          </cell>
          <cell r="D231" t="str">
            <v>2b</v>
          </cell>
          <cell r="E231">
            <v>39479</v>
          </cell>
          <cell r="F231" t="str">
            <v/>
          </cell>
          <cell r="G231">
            <v>9000000</v>
          </cell>
          <cell r="H231" t="str">
            <v>Cost to relocate Chaves Transformer</v>
          </cell>
          <cell r="I231" t="str">
            <v>Expected load growth in the Pecos Valley will cause the Eddy 230/115 kV auto or the Seven Rivers 230/115 kV auto to overload when one is outaged.  This addition will prevent the transformer from overloading. </v>
          </cell>
        </row>
        <row r="232">
          <cell r="A232" t="str">
            <v>Multi - Riverview - Carlsbad 115/69 kV Relocation</v>
          </cell>
          <cell r="B232" t="str">
            <v>SWPS</v>
          </cell>
          <cell r="C232" t="str">
            <v>PL</v>
          </cell>
          <cell r="D232" t="str">
            <v>1</v>
          </cell>
          <cell r="E232">
            <v>38078</v>
          </cell>
          <cell r="F232" t="str">
            <v/>
          </cell>
          <cell r="G232">
            <v>250000</v>
          </cell>
          <cell r="H232" t="str">
            <v>Transformer moved to Carlsbad</v>
          </cell>
          <cell r="I232" t="str">
            <v/>
          </cell>
        </row>
        <row r="233">
          <cell r="A233" t="str">
            <v>Multi - Seven Rivers - Eddy County 230 kV &amp; Seven Rivers 230/115 kV</v>
          </cell>
          <cell r="B233" t="str">
            <v>SWPS</v>
          </cell>
          <cell r="C233" t="str">
            <v>PL</v>
          </cell>
          <cell r="D233" t="str">
            <v>1</v>
          </cell>
          <cell r="E233">
            <v>38384</v>
          </cell>
          <cell r="F233" t="str">
            <v/>
          </cell>
          <cell r="G233">
            <v>6615000</v>
          </cell>
          <cell r="H233" t="str">
            <v/>
          </cell>
          <cell r="I233" t="str">
            <v>This addition prevents the Eddy 230/115 kV auto from overloading for the loss of the Potash Junction 230/115 kV auto, or the 230 kV circuit between Potash Jct and Cunningham.</v>
          </cell>
        </row>
        <row r="234">
          <cell r="A234" t="str">
            <v>XFR - Artesia 115/69 kV</v>
          </cell>
          <cell r="B234" t="str">
            <v>SWPS</v>
          </cell>
          <cell r="C234" t="str">
            <v>X</v>
          </cell>
          <cell r="D234" t="str">
            <v>2b</v>
          </cell>
          <cell r="E234">
            <v>40513</v>
          </cell>
          <cell r="F234" t="str">
            <v/>
          </cell>
          <cell r="G234">
            <v>2200000</v>
          </cell>
          <cell r="H234" t="str">
            <v>Upgrade both existing transformer</v>
          </cell>
          <cell r="I234" t="str">
            <v>To address loss of parallel transformer</v>
          </cell>
        </row>
        <row r="235">
          <cell r="A235" t="str">
            <v>XFR - Bailey Co 115/69 kV</v>
          </cell>
          <cell r="B235" t="str">
            <v>SWPS</v>
          </cell>
          <cell r="C235" t="str">
            <v>X</v>
          </cell>
          <cell r="D235" t="str">
            <v>2b</v>
          </cell>
          <cell r="E235">
            <v>38869</v>
          </cell>
          <cell r="F235" t="str">
            <v/>
          </cell>
          <cell r="G235">
            <v>2200000</v>
          </cell>
          <cell r="H235" t="str">
            <v>Upgrade both existing transformer</v>
          </cell>
          <cell r="I235" t="str">
            <v>To address loss of parallel transformer</v>
          </cell>
        </row>
        <row r="236">
          <cell r="A236" t="str">
            <v>XFR - Chaves 230/115 kV</v>
          </cell>
          <cell r="B236" t="str">
            <v>SWPS</v>
          </cell>
          <cell r="C236" t="str">
            <v>PR/EXP</v>
          </cell>
          <cell r="D236" t="str">
            <v>9</v>
          </cell>
          <cell r="E236">
            <v>39173</v>
          </cell>
          <cell r="F236" t="str">
            <v/>
          </cell>
          <cell r="G236">
            <v>1600000</v>
          </cell>
          <cell r="H236" t="str">
            <v/>
          </cell>
          <cell r="I236" t="str">
            <v/>
          </cell>
        </row>
        <row r="237">
          <cell r="A237" t="str">
            <v>XFR - Clovis - Clovis 345/230 kV</v>
          </cell>
          <cell r="B237" t="str">
            <v>SWPS</v>
          </cell>
          <cell r="C237" t="str">
            <v>PR/EXP</v>
          </cell>
          <cell r="D237" t="str">
            <v>9</v>
          </cell>
          <cell r="E237">
            <v>47270</v>
          </cell>
          <cell r="F237" t="str">
            <v/>
          </cell>
          <cell r="G237" t="str">
            <v/>
          </cell>
          <cell r="H237" t="str">
            <v>Additional Project being considered</v>
          </cell>
          <cell r="I237" t="str">
            <v/>
          </cell>
        </row>
        <row r="238">
          <cell r="A238" t="str">
            <v>XFR - Cochran 115/69 kV</v>
          </cell>
          <cell r="B238" t="str">
            <v>SWPS</v>
          </cell>
          <cell r="C238" t="str">
            <v>X</v>
          </cell>
          <cell r="D238" t="str">
            <v>2b</v>
          </cell>
          <cell r="E238">
            <v>40057</v>
          </cell>
          <cell r="F238" t="str">
            <v/>
          </cell>
          <cell r="G238">
            <v>2200000</v>
          </cell>
          <cell r="H238" t="str">
            <v>Upgrade both existing transformer</v>
          </cell>
          <cell r="I238" t="str">
            <v>To address loss of parallel transformer</v>
          </cell>
        </row>
        <row r="239">
          <cell r="A239" t="str">
            <v>XFR - Denver City 115/69 kV</v>
          </cell>
          <cell r="B239" t="str">
            <v>SWPS</v>
          </cell>
          <cell r="C239" t="str">
            <v>X</v>
          </cell>
          <cell r="D239" t="str">
            <v>2b</v>
          </cell>
          <cell r="E239">
            <v>38869</v>
          </cell>
          <cell r="F239" t="str">
            <v/>
          </cell>
          <cell r="G239">
            <v>2200000</v>
          </cell>
          <cell r="H239" t="str">
            <v>Upgrade both existing transformer</v>
          </cell>
          <cell r="I239" t="str">
            <v>To address loss of parallel transformer</v>
          </cell>
        </row>
        <row r="240">
          <cell r="A240" t="str">
            <v>XFR - East Plant 115/69 kV</v>
          </cell>
          <cell r="B240" t="str">
            <v>SWPS</v>
          </cell>
          <cell r="C240" t="str">
            <v>X</v>
          </cell>
          <cell r="D240" t="str">
            <v>2b</v>
          </cell>
          <cell r="E240">
            <v>38596</v>
          </cell>
          <cell r="F240" t="str">
            <v/>
          </cell>
          <cell r="G240">
            <v>2050000</v>
          </cell>
          <cell r="H240" t="str">
            <v>Upgrade both existing transformer</v>
          </cell>
          <cell r="I240" t="str">
            <v>To address loss of parallel transformer</v>
          </cell>
        </row>
        <row r="241">
          <cell r="A241" t="str">
            <v>XFR - Floyd Co 115/69 kV</v>
          </cell>
          <cell r="B241" t="str">
            <v>SWPS</v>
          </cell>
          <cell r="C241" t="str">
            <v>X</v>
          </cell>
          <cell r="D241" t="str">
            <v>2b</v>
          </cell>
          <cell r="E241">
            <v>38596</v>
          </cell>
          <cell r="F241" t="str">
            <v/>
          </cell>
          <cell r="G241">
            <v>2200000</v>
          </cell>
          <cell r="H241" t="str">
            <v>Upgrade both existing transformer</v>
          </cell>
          <cell r="I241" t="str">
            <v>To address loss of parallel transformer</v>
          </cell>
        </row>
        <row r="242">
          <cell r="A242" t="str">
            <v>XFR - Grassland Intg. 230/115 kV</v>
          </cell>
          <cell r="B242" t="str">
            <v>SWPS</v>
          </cell>
          <cell r="C242" t="str">
            <v>PR/EXP</v>
          </cell>
          <cell r="D242" t="str">
            <v>9</v>
          </cell>
          <cell r="E242">
            <v>47270</v>
          </cell>
          <cell r="F242" t="str">
            <v/>
          </cell>
          <cell r="G242" t="str">
            <v/>
          </cell>
          <cell r="H242" t="str">
            <v>Additional Project being considered</v>
          </cell>
          <cell r="I242" t="str">
            <v/>
          </cell>
        </row>
        <row r="243">
          <cell r="A243" t="str">
            <v>XFR - Hale Co 115/69 kV</v>
          </cell>
          <cell r="B243" t="str">
            <v>SWPS</v>
          </cell>
          <cell r="C243" t="str">
            <v>X</v>
          </cell>
          <cell r="D243" t="str">
            <v>2b</v>
          </cell>
          <cell r="E243">
            <v>39417</v>
          </cell>
          <cell r="F243" t="str">
            <v/>
          </cell>
          <cell r="G243">
            <v>2350000</v>
          </cell>
          <cell r="H243" t="str">
            <v>Upgrade both existing transformer</v>
          </cell>
          <cell r="I243" t="str">
            <v>To address loss of parallel transformer</v>
          </cell>
        </row>
        <row r="244">
          <cell r="A244" t="str">
            <v>XFR - Hale County 230/115 kV</v>
          </cell>
          <cell r="B244" t="str">
            <v>SWPS</v>
          </cell>
          <cell r="C244" t="str">
            <v>PR/EXP</v>
          </cell>
          <cell r="D244" t="str">
            <v>9</v>
          </cell>
          <cell r="E244">
            <v>39021</v>
          </cell>
          <cell r="F244" t="str">
            <v/>
          </cell>
          <cell r="G244" t="str">
            <v/>
          </cell>
          <cell r="H244" t="str">
            <v>Additional Project being considered</v>
          </cell>
          <cell r="I244" t="str">
            <v/>
          </cell>
        </row>
        <row r="245">
          <cell r="A245" t="str">
            <v>XFR - Hockley 115/69 kV</v>
          </cell>
          <cell r="B245" t="str">
            <v>SWPS</v>
          </cell>
          <cell r="C245" t="str">
            <v>X</v>
          </cell>
          <cell r="D245" t="str">
            <v>2b</v>
          </cell>
          <cell r="E245">
            <v>39052</v>
          </cell>
          <cell r="F245" t="str">
            <v/>
          </cell>
          <cell r="G245">
            <v>2200000</v>
          </cell>
          <cell r="H245" t="str">
            <v>Upgrade both existing transformer</v>
          </cell>
          <cell r="I245" t="str">
            <v>To address loss of parallel transformer</v>
          </cell>
        </row>
        <row r="246">
          <cell r="A246" t="str">
            <v>XFR - Hoover 115/69 kV</v>
          </cell>
          <cell r="B246" t="str">
            <v>SWPS</v>
          </cell>
          <cell r="C246" t="str">
            <v>PR/EXP</v>
          </cell>
          <cell r="D246" t="str">
            <v>9</v>
          </cell>
          <cell r="E246">
            <v>39601</v>
          </cell>
          <cell r="F246" t="str">
            <v/>
          </cell>
          <cell r="G246" t="str">
            <v/>
          </cell>
          <cell r="H246" t="str">
            <v>Additional Project being considered</v>
          </cell>
          <cell r="I246" t="str">
            <v/>
          </cell>
        </row>
        <row r="247">
          <cell r="A247" t="str">
            <v>XFR - Kress 115/69 kV</v>
          </cell>
          <cell r="B247" t="str">
            <v>SWPS</v>
          </cell>
          <cell r="C247" t="str">
            <v>X</v>
          </cell>
          <cell r="D247" t="str">
            <v>2b</v>
          </cell>
          <cell r="E247">
            <v>38869</v>
          </cell>
          <cell r="F247" t="str">
            <v/>
          </cell>
          <cell r="G247">
            <v>1250000</v>
          </cell>
          <cell r="H247" t="str">
            <v>Upgrade both existing transformer</v>
          </cell>
          <cell r="I247" t="str">
            <v>To address loss of parallel transformer</v>
          </cell>
        </row>
        <row r="248">
          <cell r="A248" t="str">
            <v>XFR - LE-Lovington 115/69 kV</v>
          </cell>
          <cell r="B248" t="str">
            <v>SWPS</v>
          </cell>
          <cell r="C248" t="str">
            <v>PL</v>
          </cell>
          <cell r="D248" t="str">
            <v>1</v>
          </cell>
          <cell r="E248">
            <v>38078</v>
          </cell>
          <cell r="F248" t="str">
            <v/>
          </cell>
          <cell r="G248">
            <v>1500000</v>
          </cell>
          <cell r="H248" t="str">
            <v/>
          </cell>
          <cell r="I248" t="str">
            <v/>
          </cell>
        </row>
        <row r="249">
          <cell r="A249" t="str">
            <v>XFR - LE-Plains 115/69 kV</v>
          </cell>
          <cell r="B249" t="str">
            <v>SWPS</v>
          </cell>
          <cell r="C249" t="str">
            <v>PL</v>
          </cell>
          <cell r="D249" t="str">
            <v>1</v>
          </cell>
          <cell r="E249">
            <v>38078</v>
          </cell>
          <cell r="F249" t="str">
            <v/>
          </cell>
          <cell r="G249">
            <v>1000000</v>
          </cell>
          <cell r="H249" t="str">
            <v/>
          </cell>
          <cell r="I249" t="str">
            <v/>
          </cell>
        </row>
        <row r="250">
          <cell r="A250" t="str">
            <v>XFR - LP&amp;L South Interchange 230/69 kV</v>
          </cell>
          <cell r="B250" t="str">
            <v>SWPS</v>
          </cell>
          <cell r="C250" t="str">
            <v>PL</v>
          </cell>
          <cell r="D250" t="str">
            <v>1</v>
          </cell>
          <cell r="E250">
            <v>38139</v>
          </cell>
          <cell r="F250" t="str">
            <v/>
          </cell>
          <cell r="G250">
            <v>1000000</v>
          </cell>
          <cell r="H250" t="str">
            <v>4th Interconnection to LP&amp;L</v>
          </cell>
          <cell r="I250" t="str">
            <v/>
          </cell>
        </row>
        <row r="251">
          <cell r="A251" t="str">
            <v>XFR - Lubbock East 115/69 kV</v>
          </cell>
          <cell r="B251" t="str">
            <v>SWPS</v>
          </cell>
          <cell r="C251" t="str">
            <v>X</v>
          </cell>
          <cell r="D251" t="str">
            <v>2b</v>
          </cell>
          <cell r="E251">
            <v>39600</v>
          </cell>
          <cell r="F251" t="str">
            <v/>
          </cell>
          <cell r="G251">
            <v>2200000</v>
          </cell>
          <cell r="H251" t="str">
            <v>Upgrade both existing transformer</v>
          </cell>
          <cell r="I251" t="str">
            <v>To address loss of parallel transformer</v>
          </cell>
        </row>
        <row r="252">
          <cell r="A252" t="str">
            <v>XFR - Lubbock East 230/115 kV</v>
          </cell>
          <cell r="B252" t="str">
            <v>SWPS</v>
          </cell>
          <cell r="C252" t="str">
            <v>PR/EXP</v>
          </cell>
          <cell r="D252" t="str">
            <v>9</v>
          </cell>
          <cell r="E252">
            <v>39304</v>
          </cell>
          <cell r="F252" t="str">
            <v/>
          </cell>
          <cell r="G252" t="str">
            <v/>
          </cell>
          <cell r="H252" t="str">
            <v>Additional Project being considered</v>
          </cell>
          <cell r="I252" t="str">
            <v/>
          </cell>
        </row>
        <row r="253">
          <cell r="A253" t="str">
            <v>XFR - Lubbock South 230/115 kV</v>
          </cell>
          <cell r="B253" t="str">
            <v>SWPS</v>
          </cell>
          <cell r="C253" t="str">
            <v>X</v>
          </cell>
          <cell r="D253" t="str">
            <v>2b</v>
          </cell>
          <cell r="E253">
            <v>39965</v>
          </cell>
          <cell r="F253" t="str">
            <v/>
          </cell>
          <cell r="G253">
            <v>2300000</v>
          </cell>
          <cell r="H253" t="str">
            <v>New transformer</v>
          </cell>
          <cell r="I253" t="str">
            <v>To address loss of parallel transformer</v>
          </cell>
        </row>
        <row r="254">
          <cell r="A254" t="str">
            <v>XFR - Lynn County 115/69 kV</v>
          </cell>
          <cell r="B254" t="str">
            <v>SWPS</v>
          </cell>
          <cell r="C254" t="str">
            <v>PL</v>
          </cell>
          <cell r="D254" t="str">
            <v>1</v>
          </cell>
          <cell r="E254">
            <v>38047</v>
          </cell>
          <cell r="F254" t="str">
            <v/>
          </cell>
          <cell r="G254">
            <v>1500000</v>
          </cell>
          <cell r="H254" t="str">
            <v>Add 2nd Auto at Lynn</v>
          </cell>
          <cell r="I254" t="str">
            <v/>
          </cell>
        </row>
        <row r="255">
          <cell r="A255" t="str">
            <v>XFR - Moore County Interchange 230/115 kV Ckt </v>
          </cell>
          <cell r="B255" t="str">
            <v>SWPS</v>
          </cell>
          <cell r="C255" t="str">
            <v/>
          </cell>
          <cell r="D255" t="str">
            <v>99</v>
          </cell>
          <cell r="E255">
            <v>39234</v>
          </cell>
          <cell r="F255" t="str">
            <v/>
          </cell>
          <cell r="G255" t="str">
            <v/>
          </cell>
          <cell r="H255" t="str">
            <v/>
          </cell>
          <cell r="I255" t="str">
            <v/>
          </cell>
        </row>
        <row r="256">
          <cell r="A256" t="str">
            <v>XFR - NE Hereford 115/69 kV</v>
          </cell>
          <cell r="B256" t="str">
            <v>SWPS</v>
          </cell>
          <cell r="C256" t="str">
            <v>X</v>
          </cell>
          <cell r="D256" t="str">
            <v>2b</v>
          </cell>
          <cell r="E256">
            <v>40330</v>
          </cell>
          <cell r="F256" t="str">
            <v/>
          </cell>
          <cell r="G256">
            <v>2000000</v>
          </cell>
          <cell r="H256" t="str">
            <v>New transformer</v>
          </cell>
          <cell r="I256" t="str">
            <v>To address loss of parallel transformer</v>
          </cell>
        </row>
        <row r="257">
          <cell r="A257" t="str">
            <v>XFR - Nichols 230/115 kV</v>
          </cell>
          <cell r="B257" t="str">
            <v>SWPS</v>
          </cell>
          <cell r="C257" t="str">
            <v>X</v>
          </cell>
          <cell r="D257" t="str">
            <v>2b</v>
          </cell>
          <cell r="E257">
            <v>40513</v>
          </cell>
          <cell r="F257" t="str">
            <v/>
          </cell>
          <cell r="G257">
            <v>4100000</v>
          </cell>
          <cell r="H257" t="str">
            <v>New transformer</v>
          </cell>
          <cell r="I257" t="str">
            <v>To address loss of parallel transformer</v>
          </cell>
        </row>
        <row r="258">
          <cell r="A258" t="str">
            <v>XFR - Northwest Interchange 115/69 kV</v>
          </cell>
          <cell r="B258" t="str">
            <v>SWPS</v>
          </cell>
          <cell r="C258" t="str">
            <v>PL</v>
          </cell>
          <cell r="D258" t="str">
            <v>2b</v>
          </cell>
          <cell r="E258">
            <v>38504</v>
          </cell>
          <cell r="F258" t="str">
            <v/>
          </cell>
          <cell r="G258">
            <v>650000</v>
          </cell>
          <cell r="H258" t="str">
            <v/>
          </cell>
          <cell r="I258" t="str">
            <v>Prevents NW transformer overload caused by the loss of the Coulter 115/69 kV auto.</v>
          </cell>
        </row>
        <row r="259">
          <cell r="A259" t="str">
            <v>XFR - Sundown Intg. 230/115 kV</v>
          </cell>
          <cell r="B259" t="str">
            <v>SWPS</v>
          </cell>
          <cell r="C259" t="str">
            <v>PR/EXP</v>
          </cell>
          <cell r="D259" t="str">
            <v>9</v>
          </cell>
          <cell r="E259">
            <v>47270</v>
          </cell>
          <cell r="F259" t="str">
            <v/>
          </cell>
          <cell r="G259" t="str">
            <v/>
          </cell>
          <cell r="H259" t="str">
            <v>Additional Project being considered</v>
          </cell>
          <cell r="I259" t="str">
            <v/>
          </cell>
        </row>
        <row r="260">
          <cell r="A260" t="str">
            <v>XFR - Terry Co 115/69 kV</v>
          </cell>
          <cell r="B260" t="str">
            <v>SWPS</v>
          </cell>
          <cell r="C260" t="str">
            <v>X</v>
          </cell>
          <cell r="D260" t="str">
            <v>2b</v>
          </cell>
          <cell r="E260">
            <v>39234</v>
          </cell>
          <cell r="F260" t="str">
            <v/>
          </cell>
          <cell r="G260">
            <v>2200000</v>
          </cell>
          <cell r="H260" t="str">
            <v>Upgrade both existing transformer</v>
          </cell>
          <cell r="I260" t="str">
            <v>To address loss of parallel transformer</v>
          </cell>
        </row>
        <row r="261">
          <cell r="A261" t="str">
            <v>XFR - Tuco Interchange 230/115 kV Ckt 2</v>
          </cell>
          <cell r="B261" t="str">
            <v>SWPS</v>
          </cell>
          <cell r="C261" t="str">
            <v/>
          </cell>
          <cell r="D261" t="str">
            <v>99</v>
          </cell>
          <cell r="E261">
            <v>39600</v>
          </cell>
          <cell r="F261" t="str">
            <v/>
          </cell>
          <cell r="G261" t="str">
            <v/>
          </cell>
          <cell r="H261" t="str">
            <v>Add 2nd 252 MVA 230/115 kV transformer</v>
          </cell>
          <cell r="I261" t="str">
            <v/>
          </cell>
        </row>
        <row r="262">
          <cell r="A262" t="str">
            <v>Line - Knoll 115 - Heizer 115 115 kV Ckt </v>
          </cell>
          <cell r="B262" t="str">
            <v>MIDW</v>
          </cell>
          <cell r="C262" t="str">
            <v/>
          </cell>
          <cell r="D262" t="str">
            <v>99</v>
          </cell>
          <cell r="E262">
            <v>39234</v>
          </cell>
          <cell r="F262" t="str">
            <v/>
          </cell>
          <cell r="G262" t="str">
            <v/>
          </cell>
          <cell r="H262" t="str">
            <v>Convert Knoll to Heizer 115 kV line to 230kV (already constructed for 230kV).</v>
          </cell>
          <cell r="I262" t="str">
            <v/>
          </cell>
        </row>
        <row r="263">
          <cell r="A263" t="str">
            <v>Device - Mingo3</v>
          </cell>
          <cell r="B263" t="str">
            <v>SUNC</v>
          </cell>
          <cell r="C263" t="str">
            <v>PL</v>
          </cell>
          <cell r="D263" t="str">
            <v>7</v>
          </cell>
          <cell r="E263">
            <v>38322</v>
          </cell>
          <cell r="F263" t="str">
            <v/>
          </cell>
          <cell r="G263">
            <v>1600000</v>
          </cell>
          <cell r="H263" t="str">
            <v> +- 8 Mvar DVAR and 15 Mvar Cap Bank</v>
          </cell>
          <cell r="I263" t="str">
            <v/>
          </cell>
        </row>
        <row r="264">
          <cell r="A264" t="str">
            <v>Device - Rhoades3</v>
          </cell>
          <cell r="B264" t="str">
            <v>SUNC</v>
          </cell>
          <cell r="C264" t="str">
            <v>PL</v>
          </cell>
          <cell r="D264" t="str">
            <v>7</v>
          </cell>
          <cell r="E264">
            <v>39234</v>
          </cell>
          <cell r="F264" t="str">
            <v/>
          </cell>
          <cell r="G264">
            <v>1300000</v>
          </cell>
          <cell r="H264" t="str">
            <v> +- 8 Mvar DVAR and 15 Mvar Cap Bank</v>
          </cell>
          <cell r="I264" t="str">
            <v/>
          </cell>
        </row>
        <row r="265">
          <cell r="A265" t="str">
            <v>Device - Ruleton3</v>
          </cell>
          <cell r="B265" t="str">
            <v>SUNC</v>
          </cell>
          <cell r="C265" t="str">
            <v>PL</v>
          </cell>
          <cell r="D265" t="str">
            <v>7</v>
          </cell>
          <cell r="E265">
            <v>39082</v>
          </cell>
          <cell r="F265" t="str">
            <v/>
          </cell>
          <cell r="G265">
            <v>500000</v>
          </cell>
          <cell r="H265" t="str">
            <v/>
          </cell>
          <cell r="I265" t="str">
            <v/>
          </cell>
        </row>
        <row r="266">
          <cell r="A266" t="str">
            <v>Gen - Holcomb 2</v>
          </cell>
          <cell r="B266" t="str">
            <v>SUNC</v>
          </cell>
          <cell r="C266" t="str">
            <v>PR/EXP</v>
          </cell>
          <cell r="D266" t="str">
            <v>9</v>
          </cell>
          <cell r="E266">
            <v>39722</v>
          </cell>
          <cell r="F266" t="str">
            <v/>
          </cell>
          <cell r="G266">
            <v>1000000000</v>
          </cell>
          <cell r="H266" t="str">
            <v>Sand Sage Project</v>
          </cell>
          <cell r="I266" t="str">
            <v/>
          </cell>
        </row>
        <row r="267">
          <cell r="A267" t="str">
            <v>Gen - Marienthal</v>
          </cell>
          <cell r="B267" t="str">
            <v>SUNC</v>
          </cell>
          <cell r="C267" t="str">
            <v>OOC</v>
          </cell>
          <cell r="D267" t="str">
            <v>9</v>
          </cell>
          <cell r="E267">
            <v>38717</v>
          </cell>
          <cell r="F267" t="str">
            <v/>
          </cell>
          <cell r="G267" t="str">
            <v/>
          </cell>
          <cell r="H267" t="str">
            <v>Wind Farms</v>
          </cell>
          <cell r="I267" t="str">
            <v/>
          </cell>
        </row>
        <row r="268">
          <cell r="A268" t="str">
            <v>Line - Beeler - Ness City 115 kV</v>
          </cell>
          <cell r="B268" t="str">
            <v>SUNC</v>
          </cell>
          <cell r="C268" t="str">
            <v>PL</v>
          </cell>
          <cell r="D268" t="str">
            <v>7</v>
          </cell>
          <cell r="E268">
            <v>39600</v>
          </cell>
          <cell r="F268" t="str">
            <v/>
          </cell>
          <cell r="G268">
            <v>1264000</v>
          </cell>
          <cell r="H268" t="str">
            <v>Scott City to Ness City Rebuild</v>
          </cell>
          <cell r="I268" t="str">
            <v>Checked loading not above 90% loading for contingency in 50% ramge Age and Condition</v>
          </cell>
        </row>
        <row r="269">
          <cell r="A269" t="str">
            <v>Line - Dighton Tap - Beeler 115 kV</v>
          </cell>
          <cell r="B269" t="str">
            <v>SUNC</v>
          </cell>
          <cell r="C269" t="str">
            <v>PL</v>
          </cell>
          <cell r="D269" t="str">
            <v>7</v>
          </cell>
          <cell r="E269">
            <v>39600</v>
          </cell>
          <cell r="F269" t="str">
            <v/>
          </cell>
          <cell r="G269">
            <v>2220000</v>
          </cell>
          <cell r="H269" t="str">
            <v>Scott City to Ness City Rebuild</v>
          </cell>
          <cell r="I269" t="str">
            <v>Checked loading not above 90% loading for contingency in 50% ramge Age and Condition</v>
          </cell>
        </row>
        <row r="270">
          <cell r="A270" t="str">
            <v>Line - Holcomb - Fletcher 115 kV</v>
          </cell>
          <cell r="B270" t="str">
            <v>SUNC</v>
          </cell>
          <cell r="C270" t="str">
            <v>PR/EXP</v>
          </cell>
          <cell r="D270" t="str">
            <v>9</v>
          </cell>
          <cell r="E270">
            <v>39600</v>
          </cell>
          <cell r="F270" t="str">
            <v/>
          </cell>
          <cell r="G270">
            <v>1000000</v>
          </cell>
          <cell r="H270" t="str">
            <v>Holcomb to Fletcher Reconductor</v>
          </cell>
          <cell r="I270" t="str">
            <v/>
          </cell>
        </row>
        <row r="271">
          <cell r="A271" t="str">
            <v>Line - Holcomb - Plymell 115 kV</v>
          </cell>
          <cell r="B271" t="str">
            <v>SUNC</v>
          </cell>
          <cell r="C271" t="str">
            <v>PL</v>
          </cell>
          <cell r="D271" t="str">
            <v>7</v>
          </cell>
          <cell r="E271">
            <v>39600</v>
          </cell>
          <cell r="F271" t="str">
            <v/>
          </cell>
          <cell r="G271">
            <v>1584000</v>
          </cell>
          <cell r="H271" t="str">
            <v>Holcomb to Pioneer Tap Rebuild</v>
          </cell>
          <cell r="I271" t="str">
            <v>loaded over 90% during outage of Fletch-Holcomb Age and Condition/Improve xfer capacity/Loading&amp;voltage in southern end of system</v>
          </cell>
        </row>
        <row r="272">
          <cell r="A272" t="str">
            <v>Line - Manning Tap - Dighton Tap 115 kV</v>
          </cell>
          <cell r="B272" t="str">
            <v>SUNC</v>
          </cell>
          <cell r="C272" t="str">
            <v>PL</v>
          </cell>
          <cell r="D272" t="str">
            <v>7</v>
          </cell>
          <cell r="E272">
            <v>39600</v>
          </cell>
          <cell r="F272" t="str">
            <v/>
          </cell>
          <cell r="G272">
            <v>1455000</v>
          </cell>
          <cell r="H272" t="str">
            <v>Scott City to Ness City Rebuild</v>
          </cell>
          <cell r="I272" t="str">
            <v>Checked loading not above 90% loading for contingency in 50% ramge Age and Condition</v>
          </cell>
        </row>
        <row r="273">
          <cell r="A273" t="str">
            <v>Line - Plymell - Pioneer Tap 115 kV</v>
          </cell>
          <cell r="B273" t="str">
            <v>SUNC</v>
          </cell>
          <cell r="C273" t="str">
            <v>PL</v>
          </cell>
          <cell r="D273" t="str">
            <v>7</v>
          </cell>
          <cell r="E273">
            <v>39600</v>
          </cell>
          <cell r="F273" t="str">
            <v/>
          </cell>
          <cell r="G273">
            <v>2016000</v>
          </cell>
          <cell r="H273" t="str">
            <v>Holcomb to Pioneer Tap Rebuild</v>
          </cell>
          <cell r="I273" t="str">
            <v>Age and Condition/Improve xfer capacity/Loading&amp;voltage in southern end of system</v>
          </cell>
        </row>
        <row r="274">
          <cell r="A274" t="str">
            <v>Line - Scott City - Manning Tap 115 kV</v>
          </cell>
          <cell r="B274" t="str">
            <v>SUNC</v>
          </cell>
          <cell r="C274" t="str">
            <v>PL</v>
          </cell>
          <cell r="D274" t="str">
            <v>7</v>
          </cell>
          <cell r="E274">
            <v>39600</v>
          </cell>
          <cell r="F274" t="str">
            <v/>
          </cell>
          <cell r="G274">
            <v>1062000</v>
          </cell>
          <cell r="H274" t="str">
            <v>Scott City to Ness City Rebuild</v>
          </cell>
          <cell r="I274" t="str">
            <v>Age and Condition</v>
          </cell>
        </row>
        <row r="275">
          <cell r="A275" t="str">
            <v>Multi - Pioneer - Hugoton - Walkemeyer 115 kV</v>
          </cell>
          <cell r="B275" t="str">
            <v>SUNC</v>
          </cell>
          <cell r="C275" t="str">
            <v>PL</v>
          </cell>
          <cell r="D275" t="str">
            <v>7</v>
          </cell>
          <cell r="E275">
            <v>38468</v>
          </cell>
          <cell r="F275" t="str">
            <v/>
          </cell>
          <cell r="G275">
            <v>5500000</v>
          </cell>
          <cell r="H275" t="str">
            <v>New Pioneer-Hugoton 115 Line</v>
          </cell>
          <cell r="I275" t="str">
            <v/>
          </cell>
        </row>
        <row r="276">
          <cell r="A276" t="str">
            <v>XFR - Spearville 345/230 kV</v>
          </cell>
          <cell r="B276" t="str">
            <v>SUNC</v>
          </cell>
          <cell r="C276" t="str">
            <v>PR/EXP</v>
          </cell>
          <cell r="D276" t="str">
            <v>9</v>
          </cell>
          <cell r="E276">
            <v>39600</v>
          </cell>
          <cell r="F276" t="str">
            <v/>
          </cell>
          <cell r="G276">
            <v>4500000</v>
          </cell>
          <cell r="H276" t="str">
            <v>Second Spearville Transformer</v>
          </cell>
          <cell r="I276" t="str">
            <v/>
          </cell>
        </row>
        <row r="277">
          <cell r="A277" t="str">
            <v>Device - 3rd &amp; VanBuren</v>
          </cell>
          <cell r="B277" t="str">
            <v>WERE</v>
          </cell>
          <cell r="C277" t="str">
            <v>PR/EXP</v>
          </cell>
          <cell r="D277" t="str">
            <v>9</v>
          </cell>
          <cell r="E277">
            <v>39263</v>
          </cell>
          <cell r="F277" t="str">
            <v/>
          </cell>
          <cell r="G277">
            <v>2000000</v>
          </cell>
          <cell r="H277" t="str">
            <v>Install switched capacitor bank</v>
          </cell>
          <cell r="I277" t="str">
            <v>NERC Reliability Standard TPL-002-0</v>
          </cell>
        </row>
        <row r="278">
          <cell r="A278" t="str">
            <v>Device - Clearwater</v>
          </cell>
          <cell r="B278" t="str">
            <v>WERE</v>
          </cell>
          <cell r="C278" t="str">
            <v>OOC</v>
          </cell>
          <cell r="D278" t="str">
            <v>2b</v>
          </cell>
          <cell r="E278">
            <v>38899</v>
          </cell>
          <cell r="F278" t="str">
            <v/>
          </cell>
          <cell r="G278">
            <v>1000000</v>
          </cell>
          <cell r="H278" t="str">
            <v>Install switched capacitor bank at the new Clearwater 138 kV substation</v>
          </cell>
          <cell r="I278" t="str">
            <v> NERC Reliability Standard TPL-002-0_5y_Trans_Const_Recomendation 2006-2010 p15</v>
          </cell>
        </row>
        <row r="279">
          <cell r="A279" t="str">
            <v>Device - Gale</v>
          </cell>
          <cell r="B279" t="str">
            <v>WERE</v>
          </cell>
          <cell r="C279" t="str">
            <v>PR/EXP</v>
          </cell>
          <cell r="D279" t="str">
            <v>9</v>
          </cell>
          <cell r="E279">
            <v>39629</v>
          </cell>
          <cell r="F279" t="str">
            <v/>
          </cell>
          <cell r="G279">
            <v>525000</v>
          </cell>
          <cell r="H279" t="str">
            <v>Relocate Load to Curry 115 kV bus (51176)</v>
          </cell>
          <cell r="I279" t="str">
            <v>NERC Reliability Standard TPL-002-0</v>
          </cell>
        </row>
        <row r="280">
          <cell r="A280" t="str">
            <v>Device - Mulbery</v>
          </cell>
          <cell r="B280" t="str">
            <v>WERE</v>
          </cell>
          <cell r="C280" t="str">
            <v>PL</v>
          </cell>
          <cell r="D280" t="str">
            <v>1</v>
          </cell>
          <cell r="E280">
            <v>38750</v>
          </cell>
          <cell r="F280" t="str">
            <v/>
          </cell>
          <cell r="G280">
            <v>390000</v>
          </cell>
          <cell r="H280" t="str">
            <v>Install switched capacitor bank</v>
          </cell>
          <cell r="I280" t="str">
            <v>NERC Reliability Standard TPL-002-0</v>
          </cell>
        </row>
        <row r="281">
          <cell r="A281" t="str">
            <v>Device - NE Parsons</v>
          </cell>
          <cell r="B281" t="str">
            <v>WERE</v>
          </cell>
          <cell r="C281" t="str">
            <v>OOC</v>
          </cell>
          <cell r="D281" t="str">
            <v>2b</v>
          </cell>
          <cell r="E281">
            <v>38898</v>
          </cell>
          <cell r="F281" t="str">
            <v/>
          </cell>
          <cell r="G281">
            <v>1000000</v>
          </cell>
          <cell r="H281" t="str">
            <v>Install switched capacitor bank</v>
          </cell>
          <cell r="I281" t="str">
            <v>NERC Reliability Standard TPL-002-0_Westar 5y_Trans_Const_Recomendation 2006-2010 p14</v>
          </cell>
        </row>
        <row r="282">
          <cell r="A282" t="str">
            <v>Device - Nortonville</v>
          </cell>
          <cell r="B282" t="str">
            <v>WERE</v>
          </cell>
          <cell r="C282" t="str">
            <v>OOC</v>
          </cell>
          <cell r="D282" t="str">
            <v>2b</v>
          </cell>
          <cell r="E282">
            <v>38898</v>
          </cell>
          <cell r="F282" t="str">
            <v/>
          </cell>
          <cell r="G282">
            <v>564000</v>
          </cell>
          <cell r="H282" t="str">
            <v>Install switched capacitor bank</v>
          </cell>
          <cell r="I282" t="str">
            <v>NERC Reliability Standard TPL-002-0_Westar 5y_Trans_Const_Recomendation 2006-2010 p18</v>
          </cell>
        </row>
        <row r="283">
          <cell r="A283" t="str">
            <v>Device - Parsons</v>
          </cell>
          <cell r="B283" t="str">
            <v>WERE</v>
          </cell>
          <cell r="C283" t="str">
            <v>OOC</v>
          </cell>
          <cell r="D283" t="str">
            <v>2b</v>
          </cell>
          <cell r="E283">
            <v>38898</v>
          </cell>
          <cell r="F283" t="str">
            <v/>
          </cell>
          <cell r="G283">
            <v>525000</v>
          </cell>
          <cell r="H283" t="str">
            <v>Install switched capacitor bank</v>
          </cell>
          <cell r="I283" t="str">
            <v>NERC Reliability Standard TPL-002-0 _Westar 5y_Trans_Const_Recomendation 2006-2010 p13</v>
          </cell>
        </row>
        <row r="284">
          <cell r="A284" t="str">
            <v>Device - UDALL  2</v>
          </cell>
          <cell r="B284" t="str">
            <v>WERE</v>
          </cell>
          <cell r="C284" t="str">
            <v>OOC</v>
          </cell>
          <cell r="D284" t="str">
            <v>2b</v>
          </cell>
          <cell r="E284">
            <v>38899</v>
          </cell>
          <cell r="F284" t="str">
            <v/>
          </cell>
          <cell r="G284">
            <v>525000</v>
          </cell>
          <cell r="H284" t="str">
            <v>Install switched capacitor bank</v>
          </cell>
          <cell r="I284" t="str">
            <v>NERC Reliability Standard TPL-002-0_Westar 5y_Trans_Const_Recomendation 2006-2010 p15-16</v>
          </cell>
        </row>
        <row r="285">
          <cell r="A285" t="str">
            <v>Device - Wathena</v>
          </cell>
          <cell r="B285" t="str">
            <v>WERE</v>
          </cell>
          <cell r="C285" t="str">
            <v>PR/EXP</v>
          </cell>
          <cell r="D285" t="str">
            <v>9</v>
          </cell>
          <cell r="E285">
            <v>39263</v>
          </cell>
          <cell r="F285" t="str">
            <v/>
          </cell>
          <cell r="G285">
            <v>525000</v>
          </cell>
          <cell r="H285" t="str">
            <v>Install switched capacitor bank</v>
          </cell>
          <cell r="I285" t="str">
            <v>NERC Reliability Standard TPL-002-0_5y_Trans_Const_Recomendation 2006-2010 p19</v>
          </cell>
        </row>
        <row r="286">
          <cell r="A286" t="str">
            <v>Gen - Elk River</v>
          </cell>
          <cell r="B286" t="str">
            <v>WERE</v>
          </cell>
          <cell r="C286" t="str">
            <v>OOC</v>
          </cell>
          <cell r="D286" t="str">
            <v>9</v>
          </cell>
          <cell r="E286">
            <v>38717</v>
          </cell>
          <cell r="F286" t="str">
            <v/>
          </cell>
          <cell r="G286" t="str">
            <v/>
          </cell>
          <cell r="H286" t="str">
            <v>Wind Farms</v>
          </cell>
          <cell r="I286" t="str">
            <v/>
          </cell>
        </row>
        <row r="287">
          <cell r="A287" t="str">
            <v>Gen - Evans GT 4</v>
          </cell>
          <cell r="B287" t="str">
            <v>WERE</v>
          </cell>
          <cell r="C287" t="str">
            <v>PR/EXP</v>
          </cell>
          <cell r="D287" t="str">
            <v>9</v>
          </cell>
          <cell r="E287">
            <v>39600</v>
          </cell>
          <cell r="F287" t="str">
            <v/>
          </cell>
          <cell r="G287">
            <v>65000000</v>
          </cell>
          <cell r="H287" t="str">
            <v>Gas Turbine 4</v>
          </cell>
          <cell r="I287" t="str">
            <v/>
          </cell>
        </row>
        <row r="288">
          <cell r="A288" t="str">
            <v>Gen - Evans GT 5</v>
          </cell>
          <cell r="B288" t="str">
            <v>WERE</v>
          </cell>
          <cell r="C288" t="str">
            <v>PR/EXP</v>
          </cell>
          <cell r="D288" t="str">
            <v>9</v>
          </cell>
          <cell r="E288">
            <v>39965</v>
          </cell>
          <cell r="F288" t="str">
            <v/>
          </cell>
          <cell r="G288">
            <v>150000000</v>
          </cell>
          <cell r="H288" t="str">
            <v>Combined Cycle Turbine 5</v>
          </cell>
          <cell r="I288" t="str">
            <v/>
          </cell>
        </row>
        <row r="289">
          <cell r="A289" t="str">
            <v>Gen - JEC 4</v>
          </cell>
          <cell r="B289" t="str">
            <v>WERE</v>
          </cell>
          <cell r="C289" t="str">
            <v>PR/EXP</v>
          </cell>
          <cell r="D289" t="str">
            <v>9</v>
          </cell>
          <cell r="E289">
            <v>40330</v>
          </cell>
          <cell r="F289" t="str">
            <v/>
          </cell>
          <cell r="G289" t="str">
            <v/>
          </cell>
          <cell r="H289" t="str">
            <v>Unit 4</v>
          </cell>
          <cell r="I289" t="str">
            <v/>
          </cell>
        </row>
        <row r="290">
          <cell r="A290" t="str">
            <v>Line - Auburn - South Gage 115 kV</v>
          </cell>
          <cell r="B290" t="str">
            <v>WERE</v>
          </cell>
          <cell r="C290" t="str">
            <v>PL</v>
          </cell>
          <cell r="D290" t="str">
            <v>1</v>
          </cell>
          <cell r="E290">
            <v>38322</v>
          </cell>
          <cell r="F290" t="str">
            <v/>
          </cell>
          <cell r="G290">
            <v>1800000</v>
          </cell>
          <cell r="H290" t="str">
            <v>Replace double circuit w/larger single circuit / In service 12/2004 - Emergency rating is CT limit</v>
          </cell>
          <cell r="I290" t="str">
            <v/>
          </cell>
        </row>
        <row r="291">
          <cell r="A291" t="str">
            <v>Line - Chase - White Junction 69 kV</v>
          </cell>
          <cell r="B291" t="str">
            <v>WERE</v>
          </cell>
          <cell r="C291" t="str">
            <v>PR/EXP</v>
          </cell>
          <cell r="D291" t="str">
            <v>9</v>
          </cell>
          <cell r="E291">
            <v>39630</v>
          </cell>
          <cell r="F291" t="str">
            <v/>
          </cell>
          <cell r="G291">
            <v>2400000</v>
          </cell>
          <cell r="H291" t="str">
            <v>Tear down / Rebuild 7.3-mile Chase - White Junction 69 kV line.  Replace existing 2/0 copper conductor with 795 kcmil ACSR conductor.  Rating will be limited by disconnect switches.  If the City of Augusta takes full requirements firm tranmsission service</v>
          </cell>
          <cell r="I291" t="str">
            <v>Required for compliance with NERC Reliability Standard TPL-002-0 if the City of Augusta generation is off line</v>
          </cell>
        </row>
        <row r="292">
          <cell r="A292" t="str">
            <v>Line - Circle - Hutchinson Energy Center 115 kV</v>
          </cell>
          <cell r="B292" t="str">
            <v>WERE</v>
          </cell>
          <cell r="C292" t="str">
            <v>OOC</v>
          </cell>
          <cell r="D292" t="str">
            <v>2b</v>
          </cell>
          <cell r="E292">
            <v>38838</v>
          </cell>
          <cell r="F292" t="str">
            <v/>
          </cell>
          <cell r="G292">
            <v>220000</v>
          </cell>
          <cell r="H292" t="str">
            <v>Tear down / Rebuild 0.40-mile line replacing 556.5 kcmil ACSR with 1192.5 kcmil ACSR; Project is part of a long range plan to correct service issues in the City of Hutchinson area</v>
          </cell>
          <cell r="I292" t="str">
            <v>Overload for loss of Circle-Davis 115 kV line, NERC Reliability Standard TPL-002-0</v>
          </cell>
        </row>
        <row r="293">
          <cell r="A293" t="str">
            <v>Line - Creswell - Oak 69 kV</v>
          </cell>
          <cell r="B293" t="str">
            <v>WERE</v>
          </cell>
          <cell r="C293" t="str">
            <v>AG</v>
          </cell>
          <cell r="D293" t="str">
            <v>3</v>
          </cell>
          <cell r="E293">
            <v>40695</v>
          </cell>
          <cell r="F293" t="str">
            <v/>
          </cell>
          <cell r="G293">
            <v>2000000</v>
          </cell>
          <cell r="H293" t="str">
            <v>Rebuild substations.</v>
          </cell>
          <cell r="I293" t="str">
            <v>Potential full base plan funded</v>
          </cell>
        </row>
        <row r="294">
          <cell r="A294" t="str">
            <v>Line - Creswell - Paris 69 kV</v>
          </cell>
          <cell r="B294" t="str">
            <v>WERE</v>
          </cell>
          <cell r="C294" t="str">
            <v>PL</v>
          </cell>
          <cell r="D294" t="str">
            <v>1</v>
          </cell>
          <cell r="E294">
            <v>38139</v>
          </cell>
          <cell r="F294" t="str">
            <v/>
          </cell>
          <cell r="G294">
            <v>1300000</v>
          </cell>
          <cell r="H294" t="str">
            <v>Rebuild / Limit is substation bus at Creswell</v>
          </cell>
          <cell r="I294" t="str">
            <v/>
          </cell>
        </row>
        <row r="295">
          <cell r="A295" t="str">
            <v>Line - Creswell Lane - Oak 69 kV</v>
          </cell>
          <cell r="B295" t="str">
            <v>WERE</v>
          </cell>
          <cell r="C295" t="str">
            <v>PR/EXP</v>
          </cell>
          <cell r="D295" t="str">
            <v>9</v>
          </cell>
          <cell r="E295">
            <v>42156</v>
          </cell>
          <cell r="F295" t="str">
            <v/>
          </cell>
          <cell r="G295">
            <v>1196000</v>
          </cell>
          <cell r="H295" t="str">
            <v>Rebuild. Jumper upgrade completed; No Letter of Authorization for rebuild has been received; Allocation of 100 % to Transmission Service is suspect; Project deferred indefinitely until need is confirmed</v>
          </cell>
          <cell r="I295" t="str">
            <v/>
          </cell>
        </row>
        <row r="296">
          <cell r="A296" t="str">
            <v>Line - Evans South - Lake Ridge 138 kV</v>
          </cell>
          <cell r="B296" t="str">
            <v>WERE</v>
          </cell>
          <cell r="C296" t="str">
            <v>PR/EXP</v>
          </cell>
          <cell r="D296" t="str">
            <v>9</v>
          </cell>
          <cell r="E296">
            <v>39600</v>
          </cell>
          <cell r="F296" t="str">
            <v/>
          </cell>
          <cell r="G296">
            <v>2040000</v>
          </cell>
          <cell r="H296" t="str">
            <v>Rebuild</v>
          </cell>
          <cell r="I296" t="str">
            <v/>
          </cell>
        </row>
        <row r="297">
          <cell r="A297" t="str">
            <v>Line - Gill East - Oakville 69 kV</v>
          </cell>
          <cell r="B297" t="str">
            <v>WERE</v>
          </cell>
          <cell r="C297" t="str">
            <v>PR/EXP</v>
          </cell>
          <cell r="D297" t="str">
            <v>9</v>
          </cell>
          <cell r="E297">
            <v>39965</v>
          </cell>
          <cell r="F297" t="str">
            <v/>
          </cell>
          <cell r="G297">
            <v>1300000</v>
          </cell>
          <cell r="H297" t="str">
            <v>Rebuild</v>
          </cell>
          <cell r="I297" t="str">
            <v/>
          </cell>
        </row>
        <row r="298">
          <cell r="A298" t="str">
            <v>Line - Gill Energy Center  - Oatville 69 kV</v>
          </cell>
          <cell r="B298" t="str">
            <v>WERE</v>
          </cell>
          <cell r="C298" t="str">
            <v>PR/EXP</v>
          </cell>
          <cell r="D298" t="str">
            <v>9</v>
          </cell>
          <cell r="E298">
            <v>39995</v>
          </cell>
          <cell r="F298" t="str">
            <v/>
          </cell>
          <cell r="G298">
            <v>920000</v>
          </cell>
          <cell r="H298" t="str">
            <v>Tear down / Rebuild 3.55-mile Gill Energy Center - Gill junction portion of the Gill - Oatville 69 kV line.  Replace 477 kcmil ACSR conductor with 954 kcmil ACSR and replace terminal equipment.  The new rating is the CT limit.</v>
          </cell>
          <cell r="I298" t="str">
            <v>Required for compliance with NERC Reliability Standard TPL-002-0</v>
          </cell>
        </row>
        <row r="299">
          <cell r="A299" t="str">
            <v>Line - Gill Energy Center West-Peck 69 kV</v>
          </cell>
          <cell r="B299" t="str">
            <v>WERE</v>
          </cell>
          <cell r="C299" t="str">
            <v>AG</v>
          </cell>
          <cell r="D299" t="str">
            <v>3</v>
          </cell>
          <cell r="E299">
            <v>38869</v>
          </cell>
          <cell r="F299" t="str">
            <v/>
          </cell>
          <cell r="G299">
            <v>3000000</v>
          </cell>
          <cell r="H299" t="str">
            <v>Rebuild 10.46 mile Gill-Peck line 138 kV line, but operated at 69 kV</v>
          </cell>
          <cell r="I299" t="str">
            <v>Full cost potential base plan funded</v>
          </cell>
        </row>
        <row r="300">
          <cell r="A300" t="str">
            <v>Line - Halstead - Mud Creek Junction 69 kV</v>
          </cell>
          <cell r="B300" t="str">
            <v>WERE</v>
          </cell>
          <cell r="C300" t="str">
            <v>PR/EXP</v>
          </cell>
          <cell r="D300" t="str">
            <v>9</v>
          </cell>
          <cell r="E300">
            <v>40360</v>
          </cell>
          <cell r="F300" t="str">
            <v/>
          </cell>
          <cell r="G300">
            <v>3346000</v>
          </cell>
          <cell r="H300" t="str">
            <v>Tear down / Rebuild 12.3-mile Halstead - Mud Creek - Mid America - Newton 69 kV line.  Replace 336.4 kcmil ACSR conductor with 954 kcmil ACSR conductor and replace terminal equipment at substations.</v>
          </cell>
          <cell r="I300" t="str">
            <v>Required for compliance with NERC Reliability Standard TPL-002-0</v>
          </cell>
        </row>
        <row r="301">
          <cell r="A301" t="str">
            <v>Line - Halstead - Mud Creek Junction 69 kV</v>
          </cell>
          <cell r="B301" t="str">
            <v>WERE</v>
          </cell>
          <cell r="C301" t="str">
            <v>PR/EXP</v>
          </cell>
          <cell r="D301" t="str">
            <v>9</v>
          </cell>
          <cell r="E301">
            <v>39630</v>
          </cell>
          <cell r="F301" t="str">
            <v/>
          </cell>
          <cell r="G301">
            <v>25000</v>
          </cell>
          <cell r="H301" t="str">
            <v>Change CT ratios on Halstead - Newton 69 kV line to increase capacity</v>
          </cell>
          <cell r="I301" t="str">
            <v>NERC Reliability Standard TPL-002-0</v>
          </cell>
        </row>
        <row r="302">
          <cell r="A302" t="str">
            <v>Line - HTI Junction - Circleville 115 kV</v>
          </cell>
          <cell r="B302" t="str">
            <v>WERE</v>
          </cell>
          <cell r="C302" t="str">
            <v>OOC</v>
          </cell>
          <cell r="D302" t="str">
            <v>2b</v>
          </cell>
          <cell r="E302">
            <v>38898</v>
          </cell>
          <cell r="F302" t="str">
            <v/>
          </cell>
          <cell r="G302">
            <v>2360000</v>
          </cell>
          <cell r="H302" t="str">
            <v/>
          </cell>
          <cell r="I302" t="str">
            <v>See Wesstar five Year Transmission Construction Recommendation P. 11</v>
          </cell>
        </row>
        <row r="303">
          <cell r="A303" t="str">
            <v>Line - Jarbalo - 166th Street 115 kV</v>
          </cell>
          <cell r="B303" t="str">
            <v>WERE</v>
          </cell>
          <cell r="C303" t="str">
            <v>X</v>
          </cell>
          <cell r="D303" t="str">
            <v>2b</v>
          </cell>
          <cell r="E303">
            <v>41426</v>
          </cell>
          <cell r="F303">
            <v>39600</v>
          </cell>
          <cell r="G303">
            <v>1600000</v>
          </cell>
          <cell r="H303" t="str">
            <v>Rebuild Line</v>
          </cell>
          <cell r="I303" t="str">
            <v>To address ineffective operating guide in 2010</v>
          </cell>
        </row>
        <row r="304">
          <cell r="A304" t="str">
            <v>Line - JEC - Moore 345 kV</v>
          </cell>
          <cell r="B304" t="str">
            <v>WERE</v>
          </cell>
          <cell r="C304" t="str">
            <v>PR/EXP</v>
          </cell>
          <cell r="D304" t="str">
            <v>9</v>
          </cell>
          <cell r="E304">
            <v>40330</v>
          </cell>
          <cell r="F304" t="str">
            <v/>
          </cell>
          <cell r="G304" t="str">
            <v/>
          </cell>
          <cell r="H304" t="str">
            <v>Need with new JEC U4 (for native load)</v>
          </cell>
          <cell r="I304" t="str">
            <v/>
          </cell>
        </row>
        <row r="305">
          <cell r="A305" t="str">
            <v>Line - JEC - Swissvalle 345 kV</v>
          </cell>
          <cell r="B305" t="str">
            <v>WERE</v>
          </cell>
          <cell r="C305" t="str">
            <v>PR/EXP</v>
          </cell>
          <cell r="D305" t="str">
            <v>9</v>
          </cell>
          <cell r="E305">
            <v>40330</v>
          </cell>
          <cell r="F305" t="str">
            <v/>
          </cell>
          <cell r="G305" t="str">
            <v/>
          </cell>
          <cell r="H305" t="str">
            <v>Need with new JEC U4 (for native load)</v>
          </cell>
          <cell r="I305" t="str">
            <v/>
          </cell>
        </row>
        <row r="306">
          <cell r="A306" t="str">
            <v>Line - Kereford - NW Leavenworth 115 kV</v>
          </cell>
          <cell r="B306" t="str">
            <v>WERE</v>
          </cell>
          <cell r="C306" t="str">
            <v>PL</v>
          </cell>
          <cell r="D306" t="str">
            <v>1</v>
          </cell>
          <cell r="E306">
            <v>38322</v>
          </cell>
          <cell r="F306" t="str">
            <v/>
          </cell>
          <cell r="G306">
            <v>3400000</v>
          </cell>
          <cell r="H306" t="str">
            <v>Rebuild / In service 12/2004 - Emergency rating is CT limit</v>
          </cell>
          <cell r="I306" t="str">
            <v/>
          </cell>
        </row>
        <row r="307">
          <cell r="A307" t="str">
            <v>Line - Labetts - Neosho 69 kV</v>
          </cell>
          <cell r="B307" t="str">
            <v>WERE</v>
          </cell>
          <cell r="C307" t="str">
            <v>PR/EXP</v>
          </cell>
          <cell r="D307" t="str">
            <v>9</v>
          </cell>
          <cell r="E307">
            <v>39234</v>
          </cell>
          <cell r="F307" t="str">
            <v/>
          </cell>
          <cell r="G307">
            <v>1334000</v>
          </cell>
          <cell r="H307" t="str">
            <v>Rebuild</v>
          </cell>
          <cell r="I307" t="str">
            <v/>
          </cell>
        </row>
        <row r="308">
          <cell r="A308" t="str">
            <v>Line - Mid-American Junction - Newton 69 kV</v>
          </cell>
          <cell r="B308" t="str">
            <v>WERE</v>
          </cell>
          <cell r="C308" t="str">
            <v>PR/EXP</v>
          </cell>
          <cell r="D308" t="str">
            <v>9</v>
          </cell>
          <cell r="E308">
            <v>40360</v>
          </cell>
          <cell r="F308" t="str">
            <v/>
          </cell>
          <cell r="G308" t="str">
            <v/>
          </cell>
          <cell r="H308" t="str">
            <v/>
          </cell>
          <cell r="I308" t="str">
            <v/>
          </cell>
        </row>
        <row r="309">
          <cell r="A309" t="str">
            <v>Line - Mid-American Junction - Newton 69 kV</v>
          </cell>
          <cell r="B309" t="str">
            <v>WERE</v>
          </cell>
          <cell r="C309" t="str">
            <v>PR/EXP</v>
          </cell>
          <cell r="D309" t="str">
            <v>9</v>
          </cell>
          <cell r="E309">
            <v>39630</v>
          </cell>
          <cell r="F309" t="str">
            <v/>
          </cell>
          <cell r="G309" t="str">
            <v/>
          </cell>
          <cell r="H309" t="str">
            <v/>
          </cell>
          <cell r="I309" t="str">
            <v/>
          </cell>
        </row>
        <row r="310">
          <cell r="A310" t="str">
            <v>Line - Midian 138/69 kV</v>
          </cell>
          <cell r="B310" t="str">
            <v>WERE</v>
          </cell>
          <cell r="C310" t="str">
            <v>AG</v>
          </cell>
          <cell r="D310" t="str">
            <v>3</v>
          </cell>
          <cell r="E310">
            <v>38869</v>
          </cell>
          <cell r="F310" t="str">
            <v/>
          </cell>
          <cell r="G310">
            <v>1500000</v>
          </cell>
          <cell r="H310" t="str">
            <v>Replace Midian 138-69 kV transformer.</v>
          </cell>
          <cell r="I310" t="str">
            <v>Full cost potential base plan funded</v>
          </cell>
        </row>
        <row r="311">
          <cell r="A311" t="str">
            <v>Line - Midwest Solvent Junction 1 - Atchison Junction 2 69 kV</v>
          </cell>
          <cell r="B311" t="str">
            <v>WERE</v>
          </cell>
          <cell r="C311" t="str">
            <v>OOC</v>
          </cell>
          <cell r="D311" t="str">
            <v>2a</v>
          </cell>
          <cell r="E311">
            <v>38898</v>
          </cell>
          <cell r="F311" t="str">
            <v/>
          </cell>
          <cell r="G311">
            <v>35000</v>
          </cell>
          <cell r="H311" t="str">
            <v>Rebuild</v>
          </cell>
          <cell r="I311" t="str">
            <v>NERC Relibility Standard TPL-002-0 _Westar 06-10 Trans Const. Rec. P12</v>
          </cell>
        </row>
        <row r="312">
          <cell r="A312" t="str">
            <v>Line - Morris - McDowell 230 kV</v>
          </cell>
          <cell r="B312" t="str">
            <v>WERE</v>
          </cell>
          <cell r="C312" t="str">
            <v>X</v>
          </cell>
          <cell r="D312" t="str">
            <v>2b</v>
          </cell>
          <cell r="E312">
            <v>38991</v>
          </cell>
          <cell r="F312" t="str">
            <v/>
          </cell>
          <cell r="G312">
            <v>1100000</v>
          </cell>
          <cell r="H312" t="str">
            <v>Originally built for 230kV,operated 115kV</v>
          </cell>
          <cell r="I312" t="str">
            <v>To address low voltages in the Manhattan area for loss of E. Manhattan XFR</v>
          </cell>
        </row>
        <row r="313">
          <cell r="A313" t="str">
            <v>Line - Mud Creek Junction - Mid-American Junction 69 kV</v>
          </cell>
          <cell r="B313" t="str">
            <v>WERE</v>
          </cell>
          <cell r="C313" t="str">
            <v>PR/EXP</v>
          </cell>
          <cell r="D313" t="str">
            <v>9</v>
          </cell>
          <cell r="E313">
            <v>40360</v>
          </cell>
          <cell r="F313" t="str">
            <v/>
          </cell>
          <cell r="G313" t="str">
            <v/>
          </cell>
          <cell r="H313" t="str">
            <v/>
          </cell>
          <cell r="I313" t="str">
            <v/>
          </cell>
        </row>
        <row r="314">
          <cell r="A314" t="str">
            <v>Line - Mud Creek Junction - Mid-American Junction 69 kV</v>
          </cell>
          <cell r="B314" t="str">
            <v>WERE</v>
          </cell>
          <cell r="C314" t="str">
            <v>PR/EXP</v>
          </cell>
          <cell r="D314" t="str">
            <v>9</v>
          </cell>
          <cell r="E314">
            <v>39630</v>
          </cell>
          <cell r="F314" t="str">
            <v/>
          </cell>
          <cell r="G314" t="str">
            <v/>
          </cell>
          <cell r="H314" t="str">
            <v/>
          </cell>
          <cell r="I314" t="str">
            <v/>
          </cell>
        </row>
        <row r="315">
          <cell r="A315" t="str">
            <v>Line - Murry Gill Energy Center - MacArthur 69 kV</v>
          </cell>
          <cell r="B315" t="str">
            <v>WERE</v>
          </cell>
          <cell r="C315" t="str">
            <v>PR/EXP</v>
          </cell>
          <cell r="D315" t="str">
            <v>9</v>
          </cell>
          <cell r="E315">
            <v>39630</v>
          </cell>
          <cell r="F315" t="str">
            <v/>
          </cell>
          <cell r="G315">
            <v>100000</v>
          </cell>
          <cell r="H315" t="str">
            <v>Replace bus, jumpers and disconnect switches at MacArthur 69 kV substation to increase line capacity to conductor rating</v>
          </cell>
          <cell r="I315" t="str">
            <v>Required for compliance with NERC Reliability Standard TPL-002-0</v>
          </cell>
        </row>
        <row r="316">
          <cell r="A316" t="str">
            <v>Line - Neosho - ORDNJCT2 69 kV</v>
          </cell>
          <cell r="B316" t="str">
            <v>WERE</v>
          </cell>
          <cell r="C316" t="str">
            <v>PR/EXP</v>
          </cell>
          <cell r="D316" t="str">
            <v>9</v>
          </cell>
          <cell r="E316">
            <v>39600</v>
          </cell>
          <cell r="F316" t="str">
            <v/>
          </cell>
          <cell r="G316">
            <v>874000</v>
          </cell>
          <cell r="H316" t="str">
            <v>Rebuild</v>
          </cell>
          <cell r="I316" t="str">
            <v/>
          </cell>
        </row>
        <row r="317">
          <cell r="A317" t="str">
            <v>Line - New Cities Service - 3rd &amp; VanBuren 69 kV</v>
          </cell>
          <cell r="B317" t="str">
            <v>WERE</v>
          </cell>
          <cell r="C317" t="str">
            <v>OOC</v>
          </cell>
          <cell r="D317" t="str">
            <v>2b</v>
          </cell>
          <cell r="E317">
            <v>38717</v>
          </cell>
          <cell r="F317" t="str">
            <v/>
          </cell>
          <cell r="G317">
            <v>1200000</v>
          </cell>
          <cell r="H317" t="str">
            <v>Construct at 115 kV, Operate at 69 kV until Fall 2008</v>
          </cell>
          <cell r="I317" t="str">
            <v>See Wesstar five Year Transmission Construction Recommendation P. 20</v>
          </cell>
        </row>
        <row r="318">
          <cell r="A318" t="str">
            <v>Line - Newton - Gatz 69 kV</v>
          </cell>
          <cell r="B318" t="str">
            <v>WERE</v>
          </cell>
          <cell r="C318" t="str">
            <v>PL</v>
          </cell>
          <cell r="D318" t="str">
            <v>1</v>
          </cell>
          <cell r="E318">
            <v>38169</v>
          </cell>
          <cell r="F318" t="str">
            <v/>
          </cell>
          <cell r="G318">
            <v>900000</v>
          </cell>
          <cell r="H318" t="str">
            <v>Rebuild / In service 7/2004 - Rating is CT limit</v>
          </cell>
          <cell r="I318" t="str">
            <v/>
          </cell>
        </row>
        <row r="319">
          <cell r="A319" t="str">
            <v>Line - Oaklawn - Oliver 69 kV</v>
          </cell>
          <cell r="B319" t="str">
            <v>WERE</v>
          </cell>
          <cell r="C319" t="str">
            <v>OOC</v>
          </cell>
          <cell r="D319" t="str">
            <v>2b</v>
          </cell>
          <cell r="E319">
            <v>47299</v>
          </cell>
          <cell r="F319" t="str">
            <v/>
          </cell>
          <cell r="G319">
            <v>483000</v>
          </cell>
          <cell r="H319" t="str">
            <v>Rebuild / Line not rebuilt, Uprated to 100 degree C operation</v>
          </cell>
          <cell r="I319" t="str">
            <v>Westar 5y_Trans_Const_Recomendation 2006-2010 p15-16</v>
          </cell>
        </row>
        <row r="320">
          <cell r="A320" t="str">
            <v>Line - Oaklawn - Oliver 69 kV</v>
          </cell>
          <cell r="B320" t="str">
            <v>WERE</v>
          </cell>
          <cell r="C320" t="str">
            <v>PR/EXP</v>
          </cell>
          <cell r="D320" t="str">
            <v>9</v>
          </cell>
          <cell r="E320">
            <v>40360</v>
          </cell>
          <cell r="F320" t="str">
            <v/>
          </cell>
          <cell r="G320">
            <v>950000</v>
          </cell>
          <cell r="H320" t="str">
            <v>Tear down / Rebuild 1.91-miles of Oaklawn - Olver 69 kV line replacing 477 kcmil ACSR conductor with 954 kcmil ACSR conductor.  Limit would be 0.2-mile 750 kcmil CU underground cable.</v>
          </cell>
          <cell r="I320" t="str">
            <v>Required for compliance with NERC Reliability Standard TPL-002-0</v>
          </cell>
        </row>
        <row r="321">
          <cell r="A321" t="str">
            <v>Line - Peck - Bell 69 kV</v>
          </cell>
          <cell r="B321" t="str">
            <v>WERE</v>
          </cell>
          <cell r="C321" t="str">
            <v>AG</v>
          </cell>
          <cell r="D321" t="str">
            <v>3</v>
          </cell>
          <cell r="E321">
            <v>39234</v>
          </cell>
          <cell r="F321" t="str">
            <v/>
          </cell>
          <cell r="G321">
            <v>2000000</v>
          </cell>
          <cell r="H321" t="str">
            <v>Rebuild 8.23 mile Bell-Peck 69 kV line.</v>
          </cell>
          <cell r="I321" t="str">
            <v>Potential full base plan funded</v>
          </cell>
        </row>
        <row r="322">
          <cell r="A322" t="str">
            <v>Line - Prairie - Lang 115 kV</v>
          </cell>
          <cell r="B322" t="str">
            <v>WERE</v>
          </cell>
          <cell r="C322" t="str">
            <v>X</v>
          </cell>
          <cell r="D322" t="str">
            <v>2b</v>
          </cell>
          <cell r="E322">
            <v>38657</v>
          </cell>
          <cell r="F322" t="str">
            <v/>
          </cell>
          <cell r="G322">
            <v>2200000</v>
          </cell>
          <cell r="H322" t="str">
            <v>New construction, 795 kcmil ACSR, 100 degree C rating will be implemented upon review of terminal equipment</v>
          </cell>
          <cell r="I322" t="str">
            <v>NERC Reliability Standadrd TPL-002-0, Also to address ineffective operating guide in 2010</v>
          </cell>
        </row>
        <row r="323">
          <cell r="A323" t="str">
            <v>Line - Rose Hill Junction - Richland 69 kV</v>
          </cell>
          <cell r="B323" t="str">
            <v>WERE</v>
          </cell>
          <cell r="C323" t="str">
            <v>AG</v>
          </cell>
          <cell r="D323" t="str">
            <v>3</v>
          </cell>
          <cell r="E323">
            <v>42156</v>
          </cell>
          <cell r="F323" t="str">
            <v/>
          </cell>
          <cell r="G323">
            <v>1500000</v>
          </cell>
          <cell r="H323" t="str">
            <v>Rebuild 5.43 mile Rose Hill Junction-Richland as a 138 kV line but operate at 69 kV.</v>
          </cell>
          <cell r="I323" t="str">
            <v>Potential full base plan funded</v>
          </cell>
        </row>
        <row r="324">
          <cell r="A324" t="str">
            <v>Line - S Coffeyville - Dearing 138 kV</v>
          </cell>
          <cell r="B324" t="str">
            <v>WERE</v>
          </cell>
          <cell r="C324" t="str">
            <v>AA</v>
          </cell>
          <cell r="D324" t="str">
            <v>1</v>
          </cell>
          <cell r="E324">
            <v>38384</v>
          </cell>
          <cell r="F324" t="str">
            <v/>
          </cell>
          <cell r="G324">
            <v>10000</v>
          </cell>
          <cell r="H324" t="str">
            <v>Replace wavetrap at Dearing. Rating is WERE sag limit of conductor.</v>
          </cell>
          <cell r="I324" t="str">
            <v>Attachment AA Upgrade</v>
          </cell>
        </row>
        <row r="325">
          <cell r="A325" t="str">
            <v>Line - Skelly - Butler 69 kV</v>
          </cell>
          <cell r="B325" t="str">
            <v>WERE</v>
          </cell>
          <cell r="C325" t="str">
            <v>OOC</v>
          </cell>
          <cell r="D325" t="str">
            <v>2b</v>
          </cell>
          <cell r="E325">
            <v>38687</v>
          </cell>
          <cell r="F325" t="str">
            <v/>
          </cell>
          <cell r="G325">
            <v>140000</v>
          </cell>
          <cell r="H325" t="str">
            <v>New load and new substation requires this rebuild see email Don Taylor 10/28/05</v>
          </cell>
          <cell r="I325" t="str">
            <v/>
          </cell>
        </row>
        <row r="326">
          <cell r="A326" t="str">
            <v>Line - Stranger Creek - Thornton 115 kV</v>
          </cell>
          <cell r="B326" t="str">
            <v>WERE</v>
          </cell>
          <cell r="C326" t="str">
            <v>PR/EXP</v>
          </cell>
          <cell r="D326" t="str">
            <v>9</v>
          </cell>
          <cell r="E326">
            <v>39995</v>
          </cell>
          <cell r="F326" t="str">
            <v/>
          </cell>
          <cell r="G326">
            <v>2000000</v>
          </cell>
          <cell r="H326" t="str">
            <v>Build new 7.1-mile Stranger - Thronton 115 kV transmission line</v>
          </cell>
          <cell r="I326" t="str">
            <v>Required for compliance with NERC Reliability Standard TPL-002-0</v>
          </cell>
        </row>
        <row r="327">
          <cell r="A327" t="str">
            <v>Line - Tecumseh - Midland 115 kV</v>
          </cell>
          <cell r="B327" t="str">
            <v>WERE</v>
          </cell>
          <cell r="C327" t="str">
            <v>X</v>
          </cell>
          <cell r="D327" t="str">
            <v>2b</v>
          </cell>
          <cell r="E327">
            <v>47270</v>
          </cell>
          <cell r="F327">
            <v>39234</v>
          </cell>
          <cell r="G327">
            <v>9000000</v>
          </cell>
          <cell r="H327" t="str">
            <v>Convert line from 161kV to 115 kV</v>
          </cell>
          <cell r="I327" t="str">
            <v>To address ineffective operating guide in 2010</v>
          </cell>
        </row>
        <row r="328">
          <cell r="A328" t="str">
            <v>Line - Weaver - Rosehill Junction 69 kV</v>
          </cell>
          <cell r="B328" t="str">
            <v>WERE</v>
          </cell>
          <cell r="C328" t="str">
            <v>AG</v>
          </cell>
          <cell r="D328" t="str">
            <v>3</v>
          </cell>
          <cell r="E328">
            <v>38869</v>
          </cell>
          <cell r="F328" t="str">
            <v/>
          </cell>
          <cell r="G328">
            <v>1600000</v>
          </cell>
          <cell r="H328" t="str">
            <v>Rebuild 5.73 mile Weaver-Rose Hill Junction as a 138 kV line but operate at 69 kV.</v>
          </cell>
          <cell r="I328" t="str">
            <v>Full cost potential base plan funded</v>
          </cell>
        </row>
        <row r="329">
          <cell r="A329" t="str">
            <v>Multi - Evans South - 17th Street 138 kV &amp; 17th Street 138/69 kV</v>
          </cell>
          <cell r="B329" t="str">
            <v>WERE</v>
          </cell>
          <cell r="C329" t="str">
            <v>X</v>
          </cell>
          <cell r="D329" t="str">
            <v>2b</v>
          </cell>
          <cell r="E329">
            <v>47119</v>
          </cell>
          <cell r="F329">
            <v>39600</v>
          </cell>
          <cell r="G329">
            <v>6204000</v>
          </cell>
          <cell r="H329" t="str">
            <v>New Line from Evans-17th Street</v>
          </cell>
          <cell r="I329" t="str">
            <v>To address overloads on 17th XFR with loss of Evans-Lake Ridge-Hoover line or Chisholm XFR</v>
          </cell>
        </row>
        <row r="330">
          <cell r="A330" t="str">
            <v>Multi - HEC - 43rd &amp; Lorraine - Tower 33 69 kV</v>
          </cell>
          <cell r="B330" t="str">
            <v>WERE</v>
          </cell>
          <cell r="C330" t="str">
            <v>OOC</v>
          </cell>
          <cell r="D330" t="str">
            <v>2b</v>
          </cell>
          <cell r="E330">
            <v>39082</v>
          </cell>
          <cell r="F330" t="str">
            <v/>
          </cell>
          <cell r="G330">
            <v>2400000</v>
          </cell>
          <cell r="H330" t="str">
            <v>Tear down / rebuild 5.20-mile 69 kV line as 115 kV.  69 kV system in Hutchinson will be converted to 115 kV by fall 2008.</v>
          </cell>
          <cell r="I330" t="str">
            <v>Required for compliance with NERC Reliability Standard TPL-002-0.  The project eliminates Transmission Operating Directives when the conversion to 115 kV is complete in fall 2008.  This construction and rebuilding of substations are interlinked to provide</v>
          </cell>
        </row>
        <row r="331">
          <cell r="A331" t="str">
            <v>XFR - Auburn 230/115 kV</v>
          </cell>
          <cell r="B331" t="str">
            <v>WERE</v>
          </cell>
          <cell r="C331" t="str">
            <v>X</v>
          </cell>
          <cell r="D331" t="str">
            <v>2b</v>
          </cell>
          <cell r="E331">
            <v>41091</v>
          </cell>
          <cell r="F331">
            <v>38869</v>
          </cell>
          <cell r="G331">
            <v>3080000</v>
          </cell>
          <cell r="H331" t="str">
            <v>New transformer #2 at Auburn</v>
          </cell>
          <cell r="I331" t="str">
            <v>To address ineffective operating guide</v>
          </cell>
        </row>
        <row r="332">
          <cell r="A332" t="str">
            <v>XFR - Butler 138/69 kV</v>
          </cell>
          <cell r="B332" t="str">
            <v>WERE</v>
          </cell>
          <cell r="C332" t="str">
            <v>OOC</v>
          </cell>
          <cell r="D332" t="str">
            <v>2b</v>
          </cell>
          <cell r="E332">
            <v>39022</v>
          </cell>
          <cell r="F332" t="str">
            <v/>
          </cell>
          <cell r="G332">
            <v>3000000</v>
          </cell>
          <cell r="H332" t="str">
            <v>Transformer will now be installed at Butler substation instead of Midian See email from Don Taylor 10/28/05</v>
          </cell>
          <cell r="I332" t="str">
            <v>New load requires this transformer addition; Required for compliance with NERC Reliability Standard TPL-002-0</v>
          </cell>
        </row>
        <row r="333">
          <cell r="A333" t="str">
            <v>XFR - County Line 115/69 kV</v>
          </cell>
          <cell r="B333" t="str">
            <v>WERE</v>
          </cell>
          <cell r="C333" t="str">
            <v>PR/EXP</v>
          </cell>
          <cell r="D333" t="str">
            <v>9</v>
          </cell>
          <cell r="E333">
            <v>39995</v>
          </cell>
          <cell r="F333" t="str">
            <v/>
          </cell>
          <cell r="G333">
            <v>1200000</v>
          </cell>
          <cell r="H333" t="str">
            <v>Replace existing 66 MVA 115-69 kV transformer with 112 MVA unit</v>
          </cell>
          <cell r="I333" t="str">
            <v>Required for compliance with NERC Reliability Standard TPL-002-0</v>
          </cell>
        </row>
        <row r="334">
          <cell r="A334" t="str">
            <v>XFR - JEC 345/26 kV Ckt 4</v>
          </cell>
          <cell r="B334" t="str">
            <v>WERE</v>
          </cell>
          <cell r="C334" t="str">
            <v>PR/EXP</v>
          </cell>
          <cell r="D334" t="str">
            <v>9</v>
          </cell>
          <cell r="E334">
            <v>40330</v>
          </cell>
          <cell r="F334" t="str">
            <v/>
          </cell>
          <cell r="G334" t="str">
            <v/>
          </cell>
          <cell r="H334" t="str">
            <v>Need with new JEC U4 (for native load)</v>
          </cell>
          <cell r="I334" t="str">
            <v/>
          </cell>
        </row>
        <row r="335">
          <cell r="A335" t="str">
            <v>XFR - McDowell 230/115 kV</v>
          </cell>
          <cell r="B335" t="str">
            <v>WERE</v>
          </cell>
          <cell r="C335" t="str">
            <v>X</v>
          </cell>
          <cell r="D335" t="str">
            <v>2b</v>
          </cell>
          <cell r="E335">
            <v>38991</v>
          </cell>
          <cell r="F335" t="str">
            <v/>
          </cell>
          <cell r="G335">
            <v>3300000</v>
          </cell>
          <cell r="H335" t="str">
            <v>New transformer</v>
          </cell>
          <cell r="I335" t="str">
            <v>Also to address ineffective operating guide in 2010</v>
          </cell>
        </row>
        <row r="336">
          <cell r="A336" t="str">
            <v>XFR - Weaver 138/69 kV</v>
          </cell>
          <cell r="B336" t="str">
            <v>WERE</v>
          </cell>
          <cell r="C336" t="str">
            <v>X</v>
          </cell>
          <cell r="D336" t="str">
            <v>2b</v>
          </cell>
          <cell r="E336">
            <v>38898</v>
          </cell>
          <cell r="F336" t="str">
            <v/>
          </cell>
          <cell r="G336">
            <v>1200000</v>
          </cell>
          <cell r="H336" t="str">
            <v>New transformer #2 at Weaver, Project deferred due to pending transmission service issues with the City of Augusta - if the City takes full requirements firm tranmsission service, then the transformer is needed.</v>
          </cell>
          <cell r="I336" t="str">
            <v>To address ineffective operating guide in 2010</v>
          </cell>
        </row>
        <row r="337">
          <cell r="A337" t="str">
            <v>Device - East Liberal</v>
          </cell>
          <cell r="B337" t="str">
            <v>WEPL</v>
          </cell>
          <cell r="C337" t="str">
            <v>PL</v>
          </cell>
          <cell r="D337" t="str">
            <v>1</v>
          </cell>
          <cell r="E337">
            <v>38504</v>
          </cell>
          <cell r="F337" t="str">
            <v/>
          </cell>
          <cell r="G337">
            <v>600000</v>
          </cell>
          <cell r="H337" t="str">
            <v/>
          </cell>
          <cell r="I337" t="str">
            <v/>
          </cell>
        </row>
        <row r="338">
          <cell r="A338" t="str">
            <v>Device - Harper</v>
          </cell>
          <cell r="B338" t="str">
            <v>WEPL</v>
          </cell>
          <cell r="C338" t="str">
            <v>X</v>
          </cell>
          <cell r="D338" t="str">
            <v>2b</v>
          </cell>
          <cell r="E338">
            <v>40330</v>
          </cell>
          <cell r="F338">
            <v>40330</v>
          </cell>
          <cell r="G338">
            <v>1500000</v>
          </cell>
          <cell r="H338" t="str">
            <v>20 Mvar cap bank at Harper</v>
          </cell>
          <cell r="I338" t="str">
            <v>TO address low voltage violation at Harper, Milan and Milan Tap for outage Gill - Milan Tap</v>
          </cell>
        </row>
        <row r="339">
          <cell r="A339" t="str">
            <v>Device - Plainville</v>
          </cell>
          <cell r="B339" t="str">
            <v>WEPL</v>
          </cell>
          <cell r="C339" t="str">
            <v>X</v>
          </cell>
          <cell r="D339" t="str">
            <v>1</v>
          </cell>
          <cell r="E339">
            <v>39965</v>
          </cell>
          <cell r="F339">
            <v>38504</v>
          </cell>
          <cell r="G339">
            <v>3500000</v>
          </cell>
          <cell r="H339" t="str">
            <v>8Mvar Statcom at 34.5 kV bus, and three 10 Mvar blocks at 115 kV bus</v>
          </cell>
          <cell r="I339" t="str">
            <v>To address voltage violation in WEPL,MIDW,SUNC for loss of facilities around Knoll</v>
          </cell>
        </row>
        <row r="340">
          <cell r="A340" t="str">
            <v>Line - Spearville - Judson Large 115 kV Ckt 2</v>
          </cell>
          <cell r="B340" t="str">
            <v>WEPL</v>
          </cell>
          <cell r="C340" t="str">
            <v>OOC</v>
          </cell>
          <cell r="D340" t="str">
            <v>6b</v>
          </cell>
          <cell r="E340">
            <v>39234</v>
          </cell>
          <cell r="F340" t="str">
            <v/>
          </cell>
          <cell r="G340">
            <v>3550000</v>
          </cell>
          <cell r="H340" t="str">
            <v/>
          </cell>
          <cell r="I340" t="str">
            <v/>
          </cell>
        </row>
        <row r="341">
          <cell r="A341" t="str">
            <v>Device - Nevada 161</v>
          </cell>
          <cell r="B341" t="str">
            <v>MIPU</v>
          </cell>
          <cell r="C341" t="str">
            <v>PR/EXP</v>
          </cell>
          <cell r="D341" t="str">
            <v>9</v>
          </cell>
          <cell r="E341">
            <v>38504</v>
          </cell>
          <cell r="F341" t="str">
            <v/>
          </cell>
          <cell r="G341" t="str">
            <v/>
          </cell>
          <cell r="H341" t="str">
            <v/>
          </cell>
          <cell r="I341" t="str">
            <v/>
          </cell>
        </row>
        <row r="342">
          <cell r="A342" t="str">
            <v>Device - Warsaw 269.0</v>
          </cell>
          <cell r="B342" t="str">
            <v>MIPU</v>
          </cell>
          <cell r="C342" t="str">
            <v>X</v>
          </cell>
          <cell r="D342" t="str">
            <v>1</v>
          </cell>
          <cell r="E342">
            <v>39234</v>
          </cell>
          <cell r="F342">
            <v>38869</v>
          </cell>
          <cell r="G342">
            <v>308500</v>
          </cell>
          <cell r="H342" t="str">
            <v> </v>
          </cell>
          <cell r="I342" t="str">
            <v>This interconnection operated normal open, used as an emergency back up for SJLP 69kV loop for the loss of Midway 161/69kV produces low voltages.</v>
          </cell>
        </row>
        <row r="343">
          <cell r="A343" t="str">
            <v>Gen - South Harper</v>
          </cell>
          <cell r="B343" t="str">
            <v>MIPU</v>
          </cell>
          <cell r="C343" t="str">
            <v>OOC</v>
          </cell>
          <cell r="D343" t="str">
            <v>9</v>
          </cell>
          <cell r="E343">
            <v>38504</v>
          </cell>
          <cell r="F343" t="str">
            <v/>
          </cell>
          <cell r="G343" t="str">
            <v/>
          </cell>
          <cell r="H343" t="str">
            <v/>
          </cell>
          <cell r="I343" t="str">
            <v/>
          </cell>
        </row>
        <row r="344">
          <cell r="A344" t="str">
            <v>Line - Blue Springs East - Grain Valley 161 kV</v>
          </cell>
          <cell r="B344" t="str">
            <v>MIPU</v>
          </cell>
          <cell r="C344" t="str">
            <v>PL</v>
          </cell>
          <cell r="D344" t="str">
            <v>1</v>
          </cell>
          <cell r="E344">
            <v>38504</v>
          </cell>
          <cell r="F344" t="str">
            <v/>
          </cell>
          <cell r="G344">
            <v>720000</v>
          </cell>
          <cell r="H344" t="str">
            <v/>
          </cell>
          <cell r="I344" t="str">
            <v/>
          </cell>
        </row>
        <row r="345">
          <cell r="A345" t="str">
            <v>Line - Clinton 161 - Clinton Green St 69 kV</v>
          </cell>
          <cell r="B345" t="str">
            <v>MIPU</v>
          </cell>
          <cell r="C345" t="str">
            <v>OOC</v>
          </cell>
          <cell r="D345" t="str">
            <v>2b</v>
          </cell>
          <cell r="E345">
            <v>40330</v>
          </cell>
          <cell r="F345" t="str">
            <v/>
          </cell>
          <cell r="G345">
            <v>330800</v>
          </cell>
          <cell r="H345" t="str">
            <v>Reconductor with 795ACSR</v>
          </cell>
          <cell r="I345" t="str">
            <v>Loss of 69kV line from Clinton 161 to Cinton Green causes overload (101%)</v>
          </cell>
        </row>
        <row r="346">
          <cell r="A346" t="str">
            <v>Line - Clinton 161 - Clinton Plant 69 kV</v>
          </cell>
          <cell r="B346" t="str">
            <v>MIPU</v>
          </cell>
          <cell r="C346" t="str">
            <v>OOC</v>
          </cell>
          <cell r="D346" t="str">
            <v>2b</v>
          </cell>
          <cell r="E346">
            <v>40330</v>
          </cell>
          <cell r="F346" t="str">
            <v/>
          </cell>
          <cell r="G346">
            <v>337500</v>
          </cell>
          <cell r="H346" t="str">
            <v>Reconductor with 795ACSR</v>
          </cell>
          <cell r="I346" t="str">
            <v>Loss of 69kV line from Clinton 161 to Clinton Plant causes overload (100%)</v>
          </cell>
        </row>
        <row r="347">
          <cell r="A347" t="str">
            <v>Line - Craig Interconnection</v>
          </cell>
          <cell r="B347" t="str">
            <v>MIPU</v>
          </cell>
          <cell r="C347" t="str">
            <v>OOC</v>
          </cell>
          <cell r="D347" t="str">
            <v>2a</v>
          </cell>
          <cell r="E347">
            <v>38869</v>
          </cell>
          <cell r="F347" t="str">
            <v/>
          </cell>
          <cell r="G347">
            <v>75000</v>
          </cell>
          <cell r="H347" t="str">
            <v>New interconnection with AECI at Craig 69 kV</v>
          </cell>
          <cell r="I347" t="str">
            <v>This interconnection operated normal open, used as an emergency back up for SJLP 69kV loop.  Loss of Browns Curve - Midway 69kV line produces low voltage at Craig and other adjacent substations (0.771 pu)</v>
          </cell>
        </row>
        <row r="348">
          <cell r="A348" t="str">
            <v>Line - Freeman - Anaconda 69 kV</v>
          </cell>
          <cell r="B348" t="str">
            <v>MIPU</v>
          </cell>
          <cell r="C348" t="str">
            <v>PR/EXP</v>
          </cell>
          <cell r="D348" t="str">
            <v>9</v>
          </cell>
          <cell r="E348">
            <v>39965</v>
          </cell>
          <cell r="F348" t="str">
            <v/>
          </cell>
          <cell r="G348">
            <v>7655500</v>
          </cell>
          <cell r="H348" t="str">
            <v>Reconductor 69kV line from Freeman to Anaconda</v>
          </cell>
          <cell r="I348" t="str">
            <v>Loss of 161kV line from Belton South to Peculiar causes overload</v>
          </cell>
        </row>
        <row r="349">
          <cell r="A349" t="str">
            <v>Line - Grain Valley - Oak Grove 161 kV</v>
          </cell>
          <cell r="B349" t="str">
            <v>MIPU</v>
          </cell>
          <cell r="C349" t="str">
            <v>PL</v>
          </cell>
          <cell r="D349" t="str">
            <v>1</v>
          </cell>
          <cell r="E349">
            <v>38504</v>
          </cell>
          <cell r="F349" t="str">
            <v/>
          </cell>
          <cell r="G349">
            <v>720000</v>
          </cell>
          <cell r="H349" t="str">
            <v/>
          </cell>
          <cell r="I349" t="str">
            <v/>
          </cell>
        </row>
        <row r="350">
          <cell r="A350" t="str">
            <v>Line - Gravois Mills - North Warsaw 161 kV</v>
          </cell>
          <cell r="B350" t="str">
            <v>MIPU</v>
          </cell>
          <cell r="C350" t="str">
            <v>OOC</v>
          </cell>
          <cell r="D350" t="str">
            <v>2b</v>
          </cell>
          <cell r="E350">
            <v>38718</v>
          </cell>
          <cell r="F350" t="str">
            <v/>
          </cell>
          <cell r="G350">
            <v>500000</v>
          </cell>
          <cell r="H350" t="str">
            <v>New 161/69kV Sub Tapping AECI Gravious Mill to Truman Line</v>
          </cell>
          <cell r="I350" t="str">
            <v>Provide closed loop to Sedalia West 69kV to provide voltage support in Warsaw &amp; relieve loading on Sedalia 161/69kV Transformers</v>
          </cell>
        </row>
        <row r="351">
          <cell r="A351" t="str">
            <v>Line - Hallmark - Ritchfield 161 kV</v>
          </cell>
          <cell r="B351" t="str">
            <v>MIPU</v>
          </cell>
          <cell r="C351" t="str">
            <v>OOC</v>
          </cell>
          <cell r="D351" t="str">
            <v>6c</v>
          </cell>
          <cell r="E351">
            <v>40330</v>
          </cell>
          <cell r="F351" t="str">
            <v/>
          </cell>
          <cell r="G351">
            <v>1250000</v>
          </cell>
          <cell r="H351" t="str">
            <v>161kV Tap of Hallmark to Sibley</v>
          </cell>
          <cell r="I351" t="str">
            <v>Require to serve a new distribution substation</v>
          </cell>
        </row>
        <row r="352">
          <cell r="A352" t="str">
            <v>Line - Harris Rd - Greenwood 161 kV</v>
          </cell>
          <cell r="B352" t="str">
            <v>MIPU</v>
          </cell>
          <cell r="C352" t="str">
            <v>OOC</v>
          </cell>
          <cell r="D352" t="str">
            <v>6c</v>
          </cell>
          <cell r="E352">
            <v>38717</v>
          </cell>
          <cell r="F352" t="str">
            <v/>
          </cell>
          <cell r="G352">
            <v>1250000</v>
          </cell>
          <cell r="H352" t="str">
            <v>161kV Tap of P Hill to Greenwood </v>
          </cell>
          <cell r="I352" t="str">
            <v>Require to serve a new distribution substation</v>
          </cell>
        </row>
        <row r="353">
          <cell r="A353" t="str">
            <v>Line - Harrisonville sw - Harrisonville 161 69 kV</v>
          </cell>
          <cell r="B353" t="str">
            <v>MIPU</v>
          </cell>
          <cell r="C353" t="str">
            <v>OOC</v>
          </cell>
          <cell r="D353" t="str">
            <v>1</v>
          </cell>
          <cell r="E353">
            <v>38139</v>
          </cell>
          <cell r="F353" t="str">
            <v/>
          </cell>
          <cell r="G353">
            <v>360000</v>
          </cell>
          <cell r="H353" t="str">
            <v>Rebuild</v>
          </cell>
          <cell r="I353" t="str">
            <v>Contingency Need  - Overload for loss of P Hill to Greenwood 69kV</v>
          </cell>
        </row>
        <row r="354">
          <cell r="A354" t="str">
            <v>Line - Harrisonville sw - Harrisonville N tap 69 kV</v>
          </cell>
          <cell r="B354" t="str">
            <v>MIPU</v>
          </cell>
          <cell r="C354" t="str">
            <v>PL</v>
          </cell>
          <cell r="D354" t="str">
            <v>1</v>
          </cell>
          <cell r="E354">
            <v>38139</v>
          </cell>
          <cell r="F354" t="str">
            <v/>
          </cell>
          <cell r="G354">
            <v>500000</v>
          </cell>
          <cell r="H354" t="str">
            <v/>
          </cell>
          <cell r="I354" t="str">
            <v/>
          </cell>
        </row>
        <row r="355">
          <cell r="A355" t="str">
            <v>Line - Lone Jack - Greenwood 161 kV</v>
          </cell>
          <cell r="B355" t="str">
            <v>MIPU</v>
          </cell>
          <cell r="C355" t="str">
            <v>PL</v>
          </cell>
          <cell r="D355" t="str">
            <v>6c</v>
          </cell>
          <cell r="E355">
            <v>38869</v>
          </cell>
          <cell r="F355" t="str">
            <v/>
          </cell>
          <cell r="G355">
            <v>1600000</v>
          </cell>
          <cell r="H355" t="str">
            <v>Radial Line From Greenwood to New Lone Jack 161kV Sub</v>
          </cell>
          <cell r="I355" t="str">
            <v>Require to serve a new distribution substation</v>
          </cell>
        </row>
        <row r="356">
          <cell r="A356" t="str">
            <v>Line - Longview - Sampson 161 kV</v>
          </cell>
          <cell r="B356" t="str">
            <v>MIPU</v>
          </cell>
          <cell r="C356" t="str">
            <v>OOC</v>
          </cell>
          <cell r="D356" t="str">
            <v>6c</v>
          </cell>
          <cell r="E356">
            <v>39234</v>
          </cell>
          <cell r="F356" t="str">
            <v/>
          </cell>
          <cell r="G356">
            <v>1250000</v>
          </cell>
          <cell r="H356" t="str">
            <v>161kV Tap of Longview to Grandview East</v>
          </cell>
          <cell r="I356" t="str">
            <v>Require to serve a new distribution substation</v>
          </cell>
        </row>
        <row r="357">
          <cell r="A357" t="str">
            <v>Line - Martin City - Turner Road 161 kV</v>
          </cell>
          <cell r="B357" t="str">
            <v>MIPU</v>
          </cell>
          <cell r="C357" t="str">
            <v>PL</v>
          </cell>
          <cell r="D357" t="str">
            <v>1</v>
          </cell>
          <cell r="E357">
            <v>38139</v>
          </cell>
          <cell r="F357" t="str">
            <v/>
          </cell>
          <cell r="G357">
            <v>1320000</v>
          </cell>
          <cell r="H357" t="str">
            <v/>
          </cell>
          <cell r="I357" t="str">
            <v/>
          </cell>
        </row>
        <row r="358">
          <cell r="A358" t="str">
            <v>Line - Nevada 161 - Metz 69 kV</v>
          </cell>
          <cell r="B358" t="str">
            <v>MIPU</v>
          </cell>
          <cell r="C358" t="str">
            <v>OOC</v>
          </cell>
          <cell r="D358" t="str">
            <v>1</v>
          </cell>
          <cell r="E358">
            <v>38504</v>
          </cell>
          <cell r="F358" t="str">
            <v/>
          </cell>
          <cell r="G358">
            <v>720000</v>
          </cell>
          <cell r="H358" t="str">
            <v>Rebuild</v>
          </cell>
          <cell r="I358" t="str">
            <v>Contingency Need - Overload for loss of Nevada 161 - Plant 69kV</v>
          </cell>
        </row>
        <row r="359">
          <cell r="A359" t="str">
            <v>Line - Nevada 161 - Nevada Plant 69 kV</v>
          </cell>
          <cell r="B359" t="str">
            <v>MIPU</v>
          </cell>
          <cell r="C359" t="str">
            <v>OOC</v>
          </cell>
          <cell r="D359" t="str">
            <v>2b</v>
          </cell>
          <cell r="E359">
            <v>38869</v>
          </cell>
          <cell r="F359" t="str">
            <v/>
          </cell>
          <cell r="G359">
            <v>151300</v>
          </cell>
          <cell r="H359" t="str">
            <v>Reconductor with 795ACSR</v>
          </cell>
          <cell r="I359" t="str">
            <v>Loss of 69kV line from Nevada 161 sub to Metz causes overload (107% Loading)</v>
          </cell>
        </row>
        <row r="360">
          <cell r="A360" t="str">
            <v>Line - Nevada Plant - Nevada Tap 69 kV</v>
          </cell>
          <cell r="B360" t="str">
            <v>MIPU</v>
          </cell>
          <cell r="C360" t="str">
            <v>OOC</v>
          </cell>
          <cell r="D360" t="str">
            <v>6d</v>
          </cell>
          <cell r="E360">
            <v>40330</v>
          </cell>
          <cell r="F360" t="str">
            <v/>
          </cell>
          <cell r="G360">
            <v>711000</v>
          </cell>
          <cell r="H360" t="str">
            <v>Reconductor with 795ACSR</v>
          </cell>
          <cell r="I360" t="str">
            <v>Loss of 69kV line from Nevada 161 sub to Metz causes overload (98% Loading)</v>
          </cell>
        </row>
        <row r="361">
          <cell r="A361" t="str">
            <v>Line - P Hill - Harris Rd 161 kV</v>
          </cell>
          <cell r="B361" t="str">
            <v>MIPU</v>
          </cell>
          <cell r="C361" t="str">
            <v>OOC</v>
          </cell>
          <cell r="D361" t="str">
            <v>6c</v>
          </cell>
          <cell r="E361">
            <v>38717</v>
          </cell>
          <cell r="F361" t="str">
            <v/>
          </cell>
          <cell r="G361">
            <v>1250000</v>
          </cell>
          <cell r="H361" t="str">
            <v>161kV Tap of P Hill to Greenwood </v>
          </cell>
          <cell r="I361" t="str">
            <v>Require to serve a new distribution substation</v>
          </cell>
        </row>
        <row r="362">
          <cell r="A362" t="str">
            <v>Line - Peculiar - Belton South 161 kV</v>
          </cell>
          <cell r="B362" t="str">
            <v>MIPU</v>
          </cell>
          <cell r="C362" t="str">
            <v>OOC</v>
          </cell>
          <cell r="D362" t="str">
            <v>5a</v>
          </cell>
          <cell r="E362">
            <v>38717</v>
          </cell>
          <cell r="F362" t="str">
            <v/>
          </cell>
          <cell r="G362">
            <v>5500000</v>
          </cell>
          <cell r="H362" t="str">
            <v>161kV Line From Peculiar to Belton South</v>
          </cell>
          <cell r="I362" t="str">
            <v>Required to evacuate generation from S. Harper &amp; Provide close loop to Belton South 161kV to provide voltage support in Belton Area</v>
          </cell>
        </row>
        <row r="363">
          <cell r="A363" t="str">
            <v>Line - Peculiar - P Hill 345 kV</v>
          </cell>
          <cell r="B363" t="str">
            <v>MIPU</v>
          </cell>
          <cell r="C363" t="str">
            <v>OOC</v>
          </cell>
          <cell r="D363" t="str">
            <v>5a</v>
          </cell>
          <cell r="E363">
            <v>38504</v>
          </cell>
          <cell r="F363" t="str">
            <v/>
          </cell>
          <cell r="G363">
            <v>6000000</v>
          </cell>
          <cell r="H363" t="str">
            <v>Tap P-Hill to Stillwell 345kV line @ Peculiar</v>
          </cell>
          <cell r="I363" t="str">
            <v>Required to evacuate generation from S. Harper &amp; Provide close loop to Belton South 161kV to provide voltage support in Belton Area</v>
          </cell>
        </row>
        <row r="364">
          <cell r="A364" t="str">
            <v>Line - Peculiar - South Harper 161 kV</v>
          </cell>
          <cell r="B364" t="str">
            <v>MIPU</v>
          </cell>
          <cell r="C364" t="str">
            <v>OOC</v>
          </cell>
          <cell r="D364" t="str">
            <v>5a</v>
          </cell>
          <cell r="E364">
            <v>38504</v>
          </cell>
          <cell r="F364" t="str">
            <v/>
          </cell>
          <cell r="G364">
            <v>1500000</v>
          </cell>
          <cell r="H364" t="str">
            <v>161kV Line From South Harper Peaking to Peculiar 345</v>
          </cell>
          <cell r="I364" t="str">
            <v>Required to evacuate generation from S. Harper</v>
          </cell>
        </row>
        <row r="365">
          <cell r="A365" t="str">
            <v>Line - Peculiar - Stilwell 345 kV</v>
          </cell>
          <cell r="B365" t="str">
            <v>MIPU</v>
          </cell>
          <cell r="C365" t="str">
            <v>OOC</v>
          </cell>
          <cell r="D365" t="str">
            <v>5a</v>
          </cell>
          <cell r="E365">
            <v>38504</v>
          </cell>
          <cell r="F365" t="str">
            <v/>
          </cell>
          <cell r="G365">
            <v>5000000</v>
          </cell>
          <cell r="H365" t="str">
            <v>Tap P-Hill to Stillwell 345kV line @ Peculiar</v>
          </cell>
          <cell r="I365" t="str">
            <v>Required to evacuate generation from S. Harper &amp; Provide close loop to Belton South 161kV to provide voltage support in Belton Area</v>
          </cell>
        </row>
        <row r="366">
          <cell r="A366" t="str">
            <v>Line - Ritchfield - Sibley 161 kV</v>
          </cell>
          <cell r="B366" t="str">
            <v>MIPU</v>
          </cell>
          <cell r="C366" t="str">
            <v>OOC</v>
          </cell>
          <cell r="D366" t="str">
            <v>6c</v>
          </cell>
          <cell r="E366">
            <v>40330</v>
          </cell>
          <cell r="F366" t="str">
            <v/>
          </cell>
          <cell r="G366">
            <v>1250000</v>
          </cell>
          <cell r="H366" t="str">
            <v>161kV Tap of Hallmark to Sibley</v>
          </cell>
          <cell r="I366" t="str">
            <v>Require to serve a new distribution substation</v>
          </cell>
        </row>
        <row r="367">
          <cell r="A367" t="str">
            <v>Line - Sampson - Grandview East 161 kV</v>
          </cell>
          <cell r="B367" t="str">
            <v>MIPU</v>
          </cell>
          <cell r="C367" t="str">
            <v>OOC</v>
          </cell>
          <cell r="D367" t="str">
            <v>6c</v>
          </cell>
          <cell r="E367">
            <v>39234</v>
          </cell>
          <cell r="F367" t="str">
            <v/>
          </cell>
          <cell r="G367">
            <v>1250000</v>
          </cell>
          <cell r="H367" t="str">
            <v>161kV Tap of Longview to Grandview East</v>
          </cell>
          <cell r="I367" t="str">
            <v>Require to serve a new distribution substation</v>
          </cell>
        </row>
        <row r="368">
          <cell r="A368" t="str">
            <v>Line - Truman - North Warsaw 161 kV</v>
          </cell>
          <cell r="B368" t="str">
            <v>MIPU</v>
          </cell>
          <cell r="C368" t="str">
            <v>OOC</v>
          </cell>
          <cell r="D368" t="str">
            <v>2b</v>
          </cell>
          <cell r="E368">
            <v>38719</v>
          </cell>
          <cell r="F368" t="str">
            <v/>
          </cell>
          <cell r="G368">
            <v>500000</v>
          </cell>
          <cell r="H368" t="str">
            <v>New 161/69kV Sub Tapping AECI Gravious Mill to Truman Line</v>
          </cell>
          <cell r="I368" t="str">
            <v>Provide closed loop to Sedalia West 69kV to provide voltage support in Warsaw &amp; relieve loading on Sedalia 161/69kV Transformers</v>
          </cell>
        </row>
        <row r="369">
          <cell r="A369" t="str">
            <v>Line - Turner Road - Belton South 161 kV</v>
          </cell>
          <cell r="B369" t="str">
            <v>MIPU</v>
          </cell>
          <cell r="C369" t="str">
            <v>PL</v>
          </cell>
          <cell r="D369" t="str">
            <v>1</v>
          </cell>
          <cell r="E369">
            <v>38139</v>
          </cell>
          <cell r="F369" t="str">
            <v/>
          </cell>
          <cell r="G369">
            <v>2200000</v>
          </cell>
          <cell r="H369" t="str">
            <v/>
          </cell>
          <cell r="I369" t="str">
            <v/>
          </cell>
        </row>
        <row r="370">
          <cell r="A370" t="str">
            <v>Line - Warrensburg Plant - Warrensburg East 69 kV</v>
          </cell>
          <cell r="B370" t="str">
            <v>MIPU</v>
          </cell>
          <cell r="C370" t="str">
            <v>PR/EXP</v>
          </cell>
          <cell r="D370" t="str">
            <v>9</v>
          </cell>
          <cell r="E370">
            <v>39965</v>
          </cell>
          <cell r="F370" t="str">
            <v/>
          </cell>
          <cell r="G370">
            <v>2422500</v>
          </cell>
          <cell r="H370" t="str">
            <v>Reconductor 69kV line from Warrensburg Plant to Warrensburg East </v>
          </cell>
          <cell r="I370" t="str">
            <v>Change in generation dispatch will cause an increase in flow through this line</v>
          </cell>
        </row>
        <row r="371">
          <cell r="A371" t="str">
            <v>Line - Warsaw - North Warsaw 69 kV</v>
          </cell>
          <cell r="B371" t="str">
            <v>MIPU</v>
          </cell>
          <cell r="C371" t="str">
            <v>OOC</v>
          </cell>
          <cell r="D371" t="str">
            <v>2b</v>
          </cell>
          <cell r="E371">
            <v>38717</v>
          </cell>
          <cell r="F371" t="str">
            <v/>
          </cell>
          <cell r="G371">
            <v>300000</v>
          </cell>
          <cell r="H371" t="str">
            <v>New 69kV line connecting Warsaw to North Warsaw</v>
          </cell>
          <cell r="I371" t="str">
            <v>Provide closed loop to Sedalia West 69kV to provide voltage support in Warsaw &amp; relieve loading on Sedalia 161/69kV Transformers</v>
          </cell>
        </row>
        <row r="372">
          <cell r="A372" t="str">
            <v>XFR - Belton South 161/69 kV</v>
          </cell>
          <cell r="B372" t="str">
            <v>MIPU</v>
          </cell>
          <cell r="C372" t="str">
            <v>PL</v>
          </cell>
          <cell r="D372" t="str">
            <v>1</v>
          </cell>
          <cell r="E372">
            <v>38139</v>
          </cell>
          <cell r="F372" t="str">
            <v/>
          </cell>
          <cell r="G372">
            <v>1250000</v>
          </cell>
          <cell r="H372" t="str">
            <v/>
          </cell>
          <cell r="I372" t="str">
            <v/>
          </cell>
        </row>
        <row r="373">
          <cell r="A373" t="str">
            <v>XFR - Clinton 161/69 kV</v>
          </cell>
          <cell r="B373" t="str">
            <v>MIPU</v>
          </cell>
          <cell r="C373" t="str">
            <v>X</v>
          </cell>
          <cell r="D373" t="str">
            <v>1</v>
          </cell>
          <cell r="E373">
            <v>38504</v>
          </cell>
          <cell r="F373">
            <v>38504</v>
          </cell>
          <cell r="G373">
            <v>2070000</v>
          </cell>
          <cell r="H373" t="str">
            <v>Transformer Upgrade</v>
          </cell>
          <cell r="I373" t="str">
            <v>Relieve overloading for loss of other Clinton Transformer</v>
          </cell>
        </row>
        <row r="374">
          <cell r="A374" t="str">
            <v>XFR - North Warsaw 161/69 kV</v>
          </cell>
          <cell r="B374" t="str">
            <v>MIPU</v>
          </cell>
          <cell r="C374" t="str">
            <v>OOC</v>
          </cell>
          <cell r="D374" t="str">
            <v>2b</v>
          </cell>
          <cell r="E374">
            <v>38717</v>
          </cell>
          <cell r="F374" t="str">
            <v/>
          </cell>
          <cell r="G374">
            <v>1500000</v>
          </cell>
          <cell r="H374" t="str">
            <v>161/69kV Transformer @ North Warsaw</v>
          </cell>
          <cell r="I374" t="str">
            <v>Provide closed loop to Sedalia West 69kV to provide voltage support in Warsaw &amp; relieve loading on Sedalia 161/69kV Transformers</v>
          </cell>
        </row>
        <row r="375">
          <cell r="A375" t="str">
            <v>XFR - Peculiar 345/161 kV</v>
          </cell>
          <cell r="B375" t="str">
            <v>MIPU</v>
          </cell>
          <cell r="C375" t="str">
            <v>OOC</v>
          </cell>
          <cell r="D375" t="str">
            <v>5a</v>
          </cell>
          <cell r="E375">
            <v>38504</v>
          </cell>
          <cell r="F375" t="str">
            <v/>
          </cell>
          <cell r="G375">
            <v>5000000</v>
          </cell>
          <cell r="H375" t="str">
            <v>345/161kV Transformer Tapping P-Hill to Stillwell 345kV line @ Peculiar</v>
          </cell>
          <cell r="I375" t="str">
            <v>Required to evacuate generation from S. Harper &amp; Provide close loop to Belton South 161kV to provide voltage support in Belton Area</v>
          </cell>
        </row>
        <row r="376">
          <cell r="A376" t="str">
            <v>XFR - Sedalia - Sedalia North 161/69 kV</v>
          </cell>
          <cell r="B376" t="str">
            <v>MIPU</v>
          </cell>
          <cell r="C376" t="str">
            <v>X</v>
          </cell>
          <cell r="D376" t="str">
            <v>1</v>
          </cell>
          <cell r="E376">
            <v>38687</v>
          </cell>
          <cell r="F376">
            <v>38504</v>
          </cell>
          <cell r="G376">
            <v>700000</v>
          </cell>
          <cell r="H376" t="str">
            <v>Transformer Upgrade</v>
          </cell>
          <cell r="I376" t="str">
            <v>Relieve overloading for loss of other Sedalia Transformer</v>
          </cell>
        </row>
        <row r="377">
          <cell r="A377" t="str">
            <v>XFR - Sedalia South 161/69 kV</v>
          </cell>
          <cell r="B377" t="str">
            <v>MIPU</v>
          </cell>
          <cell r="C377" t="str">
            <v>X</v>
          </cell>
          <cell r="D377" t="str">
            <v>2b</v>
          </cell>
          <cell r="E377">
            <v>38504</v>
          </cell>
          <cell r="F377">
            <v>38504</v>
          </cell>
          <cell r="G377">
            <v>700000</v>
          </cell>
          <cell r="H377" t="str">
            <v>Transformer Upgrade</v>
          </cell>
          <cell r="I377" t="str">
            <v/>
          </cell>
        </row>
        <row r="378">
          <cell r="A378" t="str">
            <v>XFR - South Harper #1 161/18 kV</v>
          </cell>
          <cell r="B378" t="str">
            <v>MIPU</v>
          </cell>
          <cell r="C378" t="str">
            <v>OOC</v>
          </cell>
          <cell r="D378" t="str">
            <v>5a</v>
          </cell>
          <cell r="E378">
            <v>38504</v>
          </cell>
          <cell r="F378" t="str">
            <v/>
          </cell>
          <cell r="G378">
            <v>5000000</v>
          </cell>
          <cell r="H378" t="str">
            <v>South Harper Peaking</v>
          </cell>
          <cell r="I378" t="str">
            <v/>
          </cell>
        </row>
        <row r="379">
          <cell r="A379" t="str">
            <v>XFR - South Harper #2 161/18 kV</v>
          </cell>
          <cell r="B379" t="str">
            <v>MIPU</v>
          </cell>
          <cell r="C379" t="str">
            <v>OOC</v>
          </cell>
          <cell r="D379" t="str">
            <v>5a</v>
          </cell>
          <cell r="E379">
            <v>38504</v>
          </cell>
          <cell r="F379" t="str">
            <v/>
          </cell>
          <cell r="G379">
            <v>5000000</v>
          </cell>
          <cell r="H379" t="str">
            <v>South Harper Peaking</v>
          </cell>
          <cell r="I379" t="str">
            <v/>
          </cell>
        </row>
        <row r="380">
          <cell r="A380" t="str">
            <v>XFR - South Harper #3 161/18 kV</v>
          </cell>
          <cell r="B380" t="str">
            <v>MIPU</v>
          </cell>
          <cell r="C380" t="str">
            <v>OOC</v>
          </cell>
          <cell r="D380" t="str">
            <v>5a</v>
          </cell>
          <cell r="E380">
            <v>38504</v>
          </cell>
          <cell r="F380" t="str">
            <v/>
          </cell>
          <cell r="G380">
            <v>5000000</v>
          </cell>
          <cell r="H380" t="str">
            <v>South Harper Peaking</v>
          </cell>
          <cell r="I380" t="str">
            <v/>
          </cell>
        </row>
        <row r="381">
          <cell r="A381" t="str">
            <v>XFR - South Harper 161/69 kV</v>
          </cell>
          <cell r="B381" t="str">
            <v>MIPU</v>
          </cell>
          <cell r="C381" t="str">
            <v>OOC</v>
          </cell>
          <cell r="D381" t="str">
            <v>5a</v>
          </cell>
          <cell r="E381">
            <v>38504</v>
          </cell>
          <cell r="F381" t="str">
            <v/>
          </cell>
          <cell r="G381">
            <v>5000000</v>
          </cell>
          <cell r="H381" t="str">
            <v>161/69kV Transformer @ S Harper Tapping Peculiar to Freeman 69kV</v>
          </cell>
          <cell r="I381" t="str">
            <v>Required to evacuate generation from S. Harper &amp; Provide close loop to Harrisonville 69kV to relieve loading on Harrisonville 161/69kV Transformer</v>
          </cell>
        </row>
        <row r="382">
          <cell r="A382" t="str">
            <v>Device - Craig 161kV</v>
          </cell>
          <cell r="B382" t="str">
            <v>KCPL</v>
          </cell>
          <cell r="C382" t="str">
            <v>PL</v>
          </cell>
          <cell r="D382" t="str">
            <v>6a</v>
          </cell>
          <cell r="E382">
            <v>39600</v>
          </cell>
          <cell r="F382" t="str">
            <v/>
          </cell>
          <cell r="G382">
            <v>706000</v>
          </cell>
          <cell r="H382" t="str">
            <v>New Craig 50Mvar cap bank</v>
          </cell>
          <cell r="I382" t="str">
            <v>Reliability project to eliminate voltage violations for contingencies</v>
          </cell>
        </row>
        <row r="383">
          <cell r="A383" t="str">
            <v>Device - Paola 161kV</v>
          </cell>
          <cell r="B383" t="str">
            <v>KCPL</v>
          </cell>
          <cell r="C383" t="str">
            <v>PL</v>
          </cell>
          <cell r="D383" t="str">
            <v>1</v>
          </cell>
          <cell r="E383">
            <v>38687</v>
          </cell>
          <cell r="F383" t="str">
            <v/>
          </cell>
          <cell r="G383">
            <v>550000</v>
          </cell>
          <cell r="H383" t="str">
            <v>New Paola 50Mvar cap bank</v>
          </cell>
          <cell r="I383" t="str">
            <v>Reliability project to eliminate voltage violations for contingencies</v>
          </cell>
        </row>
        <row r="384">
          <cell r="A384" t="str">
            <v>Device - South Waverly</v>
          </cell>
          <cell r="B384" t="str">
            <v>KCPL</v>
          </cell>
          <cell r="C384" t="str">
            <v>OOC</v>
          </cell>
          <cell r="D384" t="str">
            <v>6a</v>
          </cell>
          <cell r="E384">
            <v>39234</v>
          </cell>
          <cell r="F384" t="str">
            <v/>
          </cell>
          <cell r="G384">
            <v>706000</v>
          </cell>
          <cell r="H384" t="str">
            <v>Reliability project to eliminate voltage violations for contingencies</v>
          </cell>
          <cell r="I384" t="str">
            <v/>
          </cell>
        </row>
        <row r="385">
          <cell r="A385" t="str">
            <v>Gen - Iatan 2</v>
          </cell>
          <cell r="B385" t="str">
            <v>KCPL</v>
          </cell>
          <cell r="C385" t="str">
            <v>OOC</v>
          </cell>
          <cell r="D385" t="str">
            <v>9</v>
          </cell>
          <cell r="E385">
            <v>39965</v>
          </cell>
          <cell r="F385" t="str">
            <v/>
          </cell>
          <cell r="G385" t="str">
            <v/>
          </cell>
          <cell r="H385" t="str">
            <v>Coal</v>
          </cell>
          <cell r="I385" t="str">
            <v/>
          </cell>
        </row>
        <row r="386">
          <cell r="A386" t="str">
            <v>Line - Blue Valley - Winchester Jct 161 kV</v>
          </cell>
          <cell r="B386" t="str">
            <v>KCPL</v>
          </cell>
          <cell r="C386" t="str">
            <v>X</v>
          </cell>
          <cell r="D386" t="str">
            <v>2a</v>
          </cell>
          <cell r="E386">
            <v>39965</v>
          </cell>
          <cell r="F386">
            <v>39965</v>
          </cell>
          <cell r="G386">
            <v>13000</v>
          </cell>
          <cell r="H386" t="str">
            <v>upgrade wavetrap to 1200 amp, increase line rating to 293 Mva</v>
          </cell>
          <cell r="I386" t="str">
            <v>To address category C outage of KCPL-CROW#15</v>
          </cell>
        </row>
        <row r="387">
          <cell r="A387" t="str">
            <v>Line - Cedar Niles - Quarry 161 kV</v>
          </cell>
          <cell r="B387" t="str">
            <v>KCPL</v>
          </cell>
          <cell r="C387" t="str">
            <v>PL</v>
          </cell>
          <cell r="D387" t="str">
            <v>6c</v>
          </cell>
          <cell r="E387">
            <v>39234</v>
          </cell>
          <cell r="F387" t="str">
            <v/>
          </cell>
          <cell r="G387">
            <v>6168000</v>
          </cell>
          <cell r="H387" t="str">
            <v>New Cedar Niles-Quarry 161 kV Line</v>
          </cell>
          <cell r="I387" t="str">
            <v>Network load expansion</v>
          </cell>
        </row>
        <row r="388">
          <cell r="A388" t="str">
            <v>Line - Cedar Niles - West Gardner 161 kV</v>
          </cell>
          <cell r="B388" t="str">
            <v>KCPL</v>
          </cell>
          <cell r="C388" t="str">
            <v>PL</v>
          </cell>
          <cell r="D388" t="str">
            <v>1</v>
          </cell>
          <cell r="E388">
            <v>38687</v>
          </cell>
          <cell r="F388" t="str">
            <v/>
          </cell>
          <cell r="G388">
            <v>2500103</v>
          </cell>
          <cell r="H388" t="str">
            <v>New Cedar Niles-West Gardner 161 kV Line</v>
          </cell>
          <cell r="I388" t="str">
            <v>Network load expansion</v>
          </cell>
        </row>
        <row r="389">
          <cell r="A389" t="str">
            <v>Line - Craig - Lenexa 161 kV</v>
          </cell>
          <cell r="B389" t="str">
            <v>KCPL</v>
          </cell>
          <cell r="C389" t="str">
            <v>X</v>
          </cell>
          <cell r="D389" t="str">
            <v>2a</v>
          </cell>
          <cell r="E389">
            <v>39965</v>
          </cell>
          <cell r="F389">
            <v>39965</v>
          </cell>
          <cell r="G389">
            <v>98000</v>
          </cell>
          <cell r="H389" t="str">
            <v>Replace Lenexa Circuit Switcher R1-4 with 2000 Amp Breaker </v>
          </cell>
          <cell r="I389" t="str">
            <v>To address category C outage of KCPL-CROW#28</v>
          </cell>
        </row>
        <row r="390">
          <cell r="A390" t="str">
            <v>Line - Crosstown - Boulevard 161 kV</v>
          </cell>
          <cell r="B390" t="str">
            <v>KCPL</v>
          </cell>
          <cell r="C390" t="str">
            <v>PL</v>
          </cell>
          <cell r="D390" t="str">
            <v>6c</v>
          </cell>
          <cell r="E390">
            <v>39234</v>
          </cell>
          <cell r="F390" t="str">
            <v/>
          </cell>
          <cell r="G390">
            <v>4542940</v>
          </cell>
          <cell r="H390" t="str">
            <v>New 161kV line</v>
          </cell>
          <cell r="I390" t="str">
            <v>Network load expansion</v>
          </cell>
        </row>
        <row r="391">
          <cell r="A391" t="str">
            <v>Line - Greenwood - Merriam 161 kV</v>
          </cell>
          <cell r="B391" t="str">
            <v>KCPL</v>
          </cell>
          <cell r="C391" t="str">
            <v>X</v>
          </cell>
          <cell r="D391" t="str">
            <v>2b</v>
          </cell>
          <cell r="E391">
            <v>39965</v>
          </cell>
          <cell r="F391">
            <v>39965</v>
          </cell>
          <cell r="G391">
            <v>1256000</v>
          </cell>
          <cell r="H391" t="str">
            <v>Reconductor Merriam Greenwood with 1192 ACSS for 2000 amp capability, Uprate Line Switches and Wavetraps at Merriam and Greenwood </v>
          </cell>
          <cell r="I391" t="str">
            <v>To address category C outage of KCPL-CROW#28</v>
          </cell>
        </row>
        <row r="392">
          <cell r="A392" t="str">
            <v>Line - Hawthorn - Randolph 161 kV</v>
          </cell>
          <cell r="B392" t="str">
            <v>KCPL</v>
          </cell>
          <cell r="C392" t="str">
            <v>PL</v>
          </cell>
          <cell r="D392" t="str">
            <v>1</v>
          </cell>
          <cell r="E392">
            <v>38139</v>
          </cell>
          <cell r="F392" t="str">
            <v/>
          </cell>
          <cell r="G392">
            <v>402000</v>
          </cell>
          <cell r="H392" t="str">
            <v>Reconductor Hawthorn-Randolph 161 kV Line</v>
          </cell>
          <cell r="I392" t="str">
            <v>Generation interconnection project to eliminate contingency overload</v>
          </cell>
        </row>
        <row r="393">
          <cell r="A393" t="str">
            <v>Line - Hillsdale - Cedar Niles 161 kV</v>
          </cell>
          <cell r="B393" t="str">
            <v>KCPL</v>
          </cell>
          <cell r="C393" t="str">
            <v>PL</v>
          </cell>
          <cell r="D393" t="str">
            <v>6a</v>
          </cell>
          <cell r="E393">
            <v>39600</v>
          </cell>
          <cell r="F393" t="str">
            <v/>
          </cell>
          <cell r="G393">
            <v>5812000</v>
          </cell>
          <cell r="H393" t="str">
            <v>New Hillsdale-Cedar Niles 161 kV Line and Cedar Niles ring bus</v>
          </cell>
          <cell r="I393" t="str">
            <v>Network load expansion</v>
          </cell>
        </row>
        <row r="394">
          <cell r="A394" t="str">
            <v>Line - Hillsdale - Lackman 161 kV</v>
          </cell>
          <cell r="B394" t="str">
            <v>KCPL</v>
          </cell>
          <cell r="C394" t="str">
            <v>PL</v>
          </cell>
          <cell r="D394" t="str">
            <v>6a</v>
          </cell>
          <cell r="E394">
            <v>39965</v>
          </cell>
          <cell r="F394" t="str">
            <v/>
          </cell>
          <cell r="G394">
            <v>6966000</v>
          </cell>
          <cell r="H394" t="str">
            <v>New Hillsdale-Lackman 161 kV Line</v>
          </cell>
          <cell r="I394" t="str">
            <v>Network load expansion</v>
          </cell>
        </row>
        <row r="395">
          <cell r="A395" t="str">
            <v>Line - Lacygne - West Gardner 345 kV Ckt </v>
          </cell>
          <cell r="B395" t="str">
            <v>KCPL</v>
          </cell>
          <cell r="C395" t="str">
            <v>PL</v>
          </cell>
          <cell r="D395" t="str">
            <v>99</v>
          </cell>
          <cell r="E395">
            <v>38838</v>
          </cell>
          <cell r="F395" t="str">
            <v/>
          </cell>
          <cell r="G395">
            <v>8900000</v>
          </cell>
          <cell r="H395" t="str">
            <v>Reconductor line.</v>
          </cell>
          <cell r="I395" t="str">
            <v/>
          </cell>
        </row>
        <row r="396">
          <cell r="A396" t="str">
            <v>Line - Mission Junction - Kenilworth 161 kV</v>
          </cell>
          <cell r="B396" t="str">
            <v>KCPL</v>
          </cell>
          <cell r="C396" t="str">
            <v>OOC</v>
          </cell>
          <cell r="D396" t="str">
            <v>6a</v>
          </cell>
          <cell r="E396">
            <v>39600</v>
          </cell>
          <cell r="F396" t="str">
            <v/>
          </cell>
          <cell r="G396">
            <v>624000</v>
          </cell>
          <cell r="H396" t="str">
            <v>reconductor line with 1192 acsr</v>
          </cell>
          <cell r="I396" t="str">
            <v>Reliability project to eliminate contingency overload</v>
          </cell>
        </row>
        <row r="397">
          <cell r="A397" t="str">
            <v>Line - North Louisburg - Middle Creek 161 kV</v>
          </cell>
          <cell r="B397" t="str">
            <v>KCPL</v>
          </cell>
          <cell r="C397" t="str">
            <v>PL</v>
          </cell>
          <cell r="D397" t="str">
            <v>6a</v>
          </cell>
          <cell r="E397">
            <v>40330</v>
          </cell>
          <cell r="F397" t="str">
            <v/>
          </cell>
          <cell r="G397">
            <v>3650000</v>
          </cell>
          <cell r="H397" t="str">
            <v>New North Louisburg-Middle Creek 161kV line</v>
          </cell>
          <cell r="I397" t="str">
            <v>Network load expansion</v>
          </cell>
        </row>
        <row r="398">
          <cell r="A398" t="str">
            <v>Line - Northeast - North Kansas City 161 kV</v>
          </cell>
          <cell r="B398" t="str">
            <v>KCPL</v>
          </cell>
          <cell r="C398" t="str">
            <v>PL</v>
          </cell>
          <cell r="D398" t="str">
            <v>2b</v>
          </cell>
          <cell r="E398">
            <v>47270</v>
          </cell>
          <cell r="F398" t="str">
            <v/>
          </cell>
          <cell r="G398">
            <v>438700</v>
          </cell>
          <cell r="H398" t="str">
            <v>Reconductor 161kV Line</v>
          </cell>
          <cell r="I398" t="str">
            <v>Reliability project to eliminate contingency overload</v>
          </cell>
        </row>
        <row r="399">
          <cell r="A399" t="str">
            <v>Line - Paola - Middle Creek 161 kV</v>
          </cell>
          <cell r="B399" t="str">
            <v>KCPL</v>
          </cell>
          <cell r="C399" t="str">
            <v>PL</v>
          </cell>
          <cell r="D399" t="str">
            <v>6a</v>
          </cell>
          <cell r="E399">
            <v>40330</v>
          </cell>
          <cell r="F399" t="str">
            <v/>
          </cell>
          <cell r="G399">
            <v>4732000</v>
          </cell>
          <cell r="H399" t="str">
            <v>New Middle Creek sub and Paola-Middle Creek 161kV line</v>
          </cell>
          <cell r="I399" t="str">
            <v>Network load expansion</v>
          </cell>
        </row>
        <row r="400">
          <cell r="A400" t="str">
            <v>Line - Randolph - Avondale 161 kV</v>
          </cell>
          <cell r="B400" t="str">
            <v>KCPL</v>
          </cell>
          <cell r="C400" t="str">
            <v>PL</v>
          </cell>
          <cell r="D400" t="str">
            <v>1</v>
          </cell>
          <cell r="E400">
            <v>38139</v>
          </cell>
          <cell r="F400" t="str">
            <v/>
          </cell>
          <cell r="G400">
            <v>700000</v>
          </cell>
          <cell r="H400" t="str">
            <v>Reconductor Randolph-Avondale 161 kV Line</v>
          </cell>
          <cell r="I400" t="str">
            <v>Generation interconnection project to eliminate contingency overload</v>
          </cell>
        </row>
        <row r="401">
          <cell r="A401" t="str">
            <v>Line - Stilwell - Antioch 161 kV</v>
          </cell>
          <cell r="B401" t="str">
            <v>KCPL</v>
          </cell>
          <cell r="C401" t="str">
            <v>PL</v>
          </cell>
          <cell r="D401" t="str">
            <v>2b</v>
          </cell>
          <cell r="E401">
            <v>39234</v>
          </cell>
          <cell r="F401" t="str">
            <v/>
          </cell>
          <cell r="G401">
            <v>1561000</v>
          </cell>
          <cell r="H401" t="str">
            <v>Reconductor 161kV line</v>
          </cell>
          <cell r="I401" t="str">
            <v>Reliability project to eliminate contingency overload</v>
          </cell>
        </row>
        <row r="402">
          <cell r="A402" t="str">
            <v>Line - Sunflower - West Gardner 161 kV</v>
          </cell>
          <cell r="B402" t="str">
            <v>KCPL</v>
          </cell>
          <cell r="C402" t="str">
            <v>PL</v>
          </cell>
          <cell r="D402" t="str">
            <v>6c</v>
          </cell>
          <cell r="E402">
            <v>38139</v>
          </cell>
          <cell r="F402" t="str">
            <v/>
          </cell>
          <cell r="G402">
            <v>1841000</v>
          </cell>
          <cell r="H402" t="str">
            <v>New Sunflower sub and cut-in</v>
          </cell>
          <cell r="I402" t="str">
            <v>Network load expansion</v>
          </cell>
        </row>
        <row r="403">
          <cell r="A403" t="str">
            <v>Line - Terrace - Boulevard 161 kV</v>
          </cell>
          <cell r="B403" t="str">
            <v>KCPL</v>
          </cell>
          <cell r="C403" t="str">
            <v>PL</v>
          </cell>
          <cell r="D403" t="str">
            <v>6c</v>
          </cell>
          <cell r="E403">
            <v>38869</v>
          </cell>
          <cell r="F403" t="str">
            <v/>
          </cell>
          <cell r="G403">
            <v>5088000</v>
          </cell>
          <cell r="H403" t="str">
            <v>New Boulevard sub and new 161kV line</v>
          </cell>
          <cell r="I403" t="str">
            <v>Network load expansion</v>
          </cell>
        </row>
        <row r="404">
          <cell r="A404" t="str">
            <v>Line - Tomahawk - Bendix 161 kV</v>
          </cell>
          <cell r="B404" t="str">
            <v>KCPL</v>
          </cell>
          <cell r="C404" t="str">
            <v>OOC</v>
          </cell>
          <cell r="D404" t="str">
            <v>6a</v>
          </cell>
          <cell r="E404">
            <v>38869</v>
          </cell>
          <cell r="F404" t="str">
            <v/>
          </cell>
          <cell r="G404">
            <v>528600</v>
          </cell>
          <cell r="H404" t="str">
            <v>reconductor line with 1192 acsr</v>
          </cell>
          <cell r="I404" t="str">
            <v>Reliability project to eliminate contingency overload</v>
          </cell>
        </row>
        <row r="405">
          <cell r="A405" t="str">
            <v>Line - Tomahawk - Mission Junction 161 kV</v>
          </cell>
          <cell r="B405" t="str">
            <v>KCPL</v>
          </cell>
          <cell r="C405" t="str">
            <v>OOC</v>
          </cell>
          <cell r="D405" t="str">
            <v>6a</v>
          </cell>
          <cell r="E405">
            <v>39600</v>
          </cell>
          <cell r="F405" t="str">
            <v/>
          </cell>
          <cell r="G405">
            <v>630000</v>
          </cell>
          <cell r="H405" t="str">
            <v>reconductor line with 1192 acsr</v>
          </cell>
          <cell r="I405" t="str">
            <v>Reliability project to eliminate contingency overload</v>
          </cell>
        </row>
        <row r="406">
          <cell r="A406" t="str">
            <v>Multi - Lackman Sub</v>
          </cell>
          <cell r="B406" t="str">
            <v>KCPL</v>
          </cell>
          <cell r="C406" t="str">
            <v>PL</v>
          </cell>
          <cell r="D406" t="str">
            <v>6c</v>
          </cell>
          <cell r="E406">
            <v>39600</v>
          </cell>
          <cell r="F406" t="str">
            <v/>
          </cell>
          <cell r="G406">
            <v>164000</v>
          </cell>
          <cell r="H406" t="str">
            <v>New Lackman sub cut-in</v>
          </cell>
          <cell r="I406" t="str">
            <v>Network load expansion</v>
          </cell>
        </row>
        <row r="407">
          <cell r="A407" t="str">
            <v>Multi - Maywood South Sub</v>
          </cell>
          <cell r="B407" t="str">
            <v>KCPL</v>
          </cell>
          <cell r="C407" t="str">
            <v>PL</v>
          </cell>
          <cell r="D407" t="str">
            <v>1</v>
          </cell>
          <cell r="E407">
            <v>37987</v>
          </cell>
          <cell r="F407" t="str">
            <v/>
          </cell>
          <cell r="G407">
            <v>0</v>
          </cell>
          <cell r="H407" t="str">
            <v>New BPU Maywood South sub and cut-in</v>
          </cell>
          <cell r="I407" t="str">
            <v>BPU load expansion</v>
          </cell>
        </row>
        <row r="408">
          <cell r="A408" t="str">
            <v>Multi - Pleasant Valley Sub</v>
          </cell>
          <cell r="B408" t="str">
            <v>KCPL</v>
          </cell>
          <cell r="C408" t="str">
            <v>PL</v>
          </cell>
          <cell r="D408" t="str">
            <v>6c</v>
          </cell>
          <cell r="E408">
            <v>39234</v>
          </cell>
          <cell r="F408" t="str">
            <v/>
          </cell>
          <cell r="G408">
            <v>1885000</v>
          </cell>
          <cell r="H408" t="str">
            <v>New South Richland sub and cut-in</v>
          </cell>
          <cell r="I408" t="str">
            <v>Network load expansion</v>
          </cell>
        </row>
        <row r="409">
          <cell r="A409" t="str">
            <v>Multi - Waldron Sub</v>
          </cell>
          <cell r="B409" t="str">
            <v>KCPL</v>
          </cell>
          <cell r="C409" t="str">
            <v>PL</v>
          </cell>
          <cell r="D409" t="str">
            <v>6c</v>
          </cell>
          <cell r="E409">
            <v>39600</v>
          </cell>
          <cell r="F409" t="str">
            <v/>
          </cell>
          <cell r="G409">
            <v>1323000</v>
          </cell>
          <cell r="H409" t="str">
            <v>New Waldron sub cut-in</v>
          </cell>
          <cell r="I409" t="str">
            <v>Network load expansion</v>
          </cell>
        </row>
        <row r="410">
          <cell r="A410" t="str">
            <v>XFR - Paola 345/161 kV</v>
          </cell>
          <cell r="B410" t="str">
            <v>KCPL</v>
          </cell>
          <cell r="C410" t="str">
            <v>PL</v>
          </cell>
          <cell r="D410" t="str">
            <v>6a</v>
          </cell>
          <cell r="E410">
            <v>39600</v>
          </cell>
          <cell r="F410" t="str">
            <v/>
          </cell>
          <cell r="G410">
            <v>12650000</v>
          </cell>
          <cell r="H410" t="str">
            <v>New 345/161kV transformer and 345kV line cut-in</v>
          </cell>
          <cell r="I410" t="str">
            <v>Network load expansion</v>
          </cell>
        </row>
        <row r="411">
          <cell r="A411" t="str">
            <v>Device - Hermitage</v>
          </cell>
          <cell r="B411" t="str">
            <v>EMDE</v>
          </cell>
          <cell r="C411" t="str">
            <v>X</v>
          </cell>
          <cell r="D411" t="str">
            <v>2a</v>
          </cell>
          <cell r="E411">
            <v>40330</v>
          </cell>
          <cell r="F411">
            <v>40330</v>
          </cell>
          <cell r="G411">
            <v>36000</v>
          </cell>
          <cell r="H411" t="str">
            <v>Install 2 Mvar of Caps at Hermitage</v>
          </cell>
          <cell r="I411" t="str">
            <v>To address low voltage violation at Hermitage 69 kV for loss of Bolivar Burns XFR outage</v>
          </cell>
        </row>
        <row r="412">
          <cell r="A412" t="str">
            <v>Device - Purdy</v>
          </cell>
          <cell r="B412" t="str">
            <v>EMDE</v>
          </cell>
          <cell r="C412" t="str">
            <v>X</v>
          </cell>
          <cell r="D412" t="str">
            <v>1</v>
          </cell>
          <cell r="E412">
            <v>38504</v>
          </cell>
          <cell r="F412">
            <v>38504</v>
          </cell>
          <cell r="G412">
            <v>108000</v>
          </cell>
          <cell r="H412" t="str">
            <v>Install 6 Mvar Cap at Purdy</v>
          </cell>
          <cell r="I412" t="str">
            <v>To address basecase Voltage Violation at Purdy 69 kV</v>
          </cell>
        </row>
        <row r="413">
          <cell r="A413" t="str">
            <v>Gen - Riverton 13</v>
          </cell>
          <cell r="B413" t="str">
            <v>EMDE</v>
          </cell>
          <cell r="C413" t="str">
            <v>PR/EXP</v>
          </cell>
          <cell r="D413" t="str">
            <v>9</v>
          </cell>
          <cell r="E413">
            <v>40330</v>
          </cell>
          <cell r="F413" t="str">
            <v/>
          </cell>
          <cell r="G413" t="str">
            <v/>
          </cell>
          <cell r="H413" t="str">
            <v/>
          </cell>
          <cell r="I413" t="str">
            <v/>
          </cell>
        </row>
        <row r="414">
          <cell r="A414" t="str">
            <v>Gen - Riverton Unit 12</v>
          </cell>
          <cell r="B414" t="str">
            <v>EMDE</v>
          </cell>
          <cell r="C414" t="str">
            <v>PR/EXP</v>
          </cell>
          <cell r="D414" t="str">
            <v>9</v>
          </cell>
          <cell r="E414">
            <v>39234</v>
          </cell>
          <cell r="F414" t="str">
            <v/>
          </cell>
          <cell r="G414" t="str">
            <v/>
          </cell>
          <cell r="H414" t="str">
            <v/>
          </cell>
          <cell r="I414" t="str">
            <v/>
          </cell>
        </row>
        <row r="415">
          <cell r="A415" t="str">
            <v>Line - Monett - Chesapeake 161 kV</v>
          </cell>
          <cell r="B415" t="str">
            <v>EMDE</v>
          </cell>
          <cell r="C415" t="str">
            <v>X</v>
          </cell>
          <cell r="D415" t="str">
            <v>2b</v>
          </cell>
          <cell r="E415">
            <v>39965</v>
          </cell>
          <cell r="F415">
            <v>39965</v>
          </cell>
          <cell r="G415">
            <v>8000000</v>
          </cell>
          <cell r="H415" t="str">
            <v>Install New 161 line from Monett to Chesapeake.  </v>
          </cell>
          <cell r="I415" t="str">
            <v>To address Monett transformer overload for loss of Aurora-Monett</v>
          </cell>
        </row>
        <row r="416">
          <cell r="A416" t="str">
            <v>Line - Monett City South - Monett City East 69 kV</v>
          </cell>
          <cell r="B416" t="str">
            <v>EMDE</v>
          </cell>
          <cell r="C416" t="str">
            <v>X</v>
          </cell>
          <cell r="D416" t="str">
            <v>2b</v>
          </cell>
          <cell r="E416">
            <v>40330</v>
          </cell>
          <cell r="F416">
            <v>40330</v>
          </cell>
          <cell r="G416">
            <v>240000</v>
          </cell>
          <cell r="H416" t="str">
            <v>Reconductor 1.2 MILES with 335.4 ACSR</v>
          </cell>
          <cell r="I416" t="str">
            <v>Overload conductor without outage NERC category A</v>
          </cell>
        </row>
        <row r="417">
          <cell r="A417" t="str">
            <v>Line - Neosho - Sub 292 - Tipton Ford 161 kV Ckt </v>
          </cell>
          <cell r="B417" t="str">
            <v>EMDE</v>
          </cell>
          <cell r="C417" t="str">
            <v/>
          </cell>
          <cell r="D417" t="str">
            <v>99</v>
          </cell>
          <cell r="E417">
            <v>39234</v>
          </cell>
          <cell r="F417" t="str">
            <v/>
          </cell>
          <cell r="G417" t="str">
            <v/>
          </cell>
          <cell r="H417" t="str">
            <v>Reconductor 10.6 miles of the Neosho Sub- Tipton Ford 161kv facility to 556 KCMIL ACSR</v>
          </cell>
          <cell r="I417" t="str">
            <v/>
          </cell>
        </row>
        <row r="418">
          <cell r="A418" t="str">
            <v>Line - ReinMiller - Tipton Ford 161 kV</v>
          </cell>
          <cell r="B418" t="str">
            <v>EMDE</v>
          </cell>
          <cell r="C418" t="str">
            <v>X</v>
          </cell>
          <cell r="D418" t="str">
            <v>2b</v>
          </cell>
          <cell r="E418">
            <v>39234</v>
          </cell>
          <cell r="F418">
            <v>39234</v>
          </cell>
          <cell r="G418">
            <v>3215000</v>
          </cell>
          <cell r="H418" t="str">
            <v>Install new 161 kV line from 292 to 393 Build 4.2 miles  Terminal at both </v>
          </cell>
          <cell r="I418" t="str">
            <v>To address Joplin transformer overload for loss of Tipton-Joplin line</v>
          </cell>
        </row>
        <row r="419">
          <cell r="A419" t="str">
            <v>Line - Sub 109 - Atlas Jct. - Sub 432 - Joplin Oakland North 69 kV Ckt </v>
          </cell>
          <cell r="B419" t="str">
            <v>EMDE</v>
          </cell>
          <cell r="C419" t="str">
            <v/>
          </cell>
          <cell r="D419" t="str">
            <v>99</v>
          </cell>
          <cell r="E419">
            <v>38869</v>
          </cell>
          <cell r="F419" t="str">
            <v/>
          </cell>
          <cell r="G419" t="str">
            <v/>
          </cell>
          <cell r="H419" t="str">
            <v>Reconductor 3.76 miles of the Atlas Jct Sub-Joplin Oakland North 161kV facility to 795 KCMIL ACSR</v>
          </cell>
          <cell r="I419" t="str">
            <v/>
          </cell>
        </row>
        <row r="420">
          <cell r="A420" t="str">
            <v>Line - Sub 110 - Oronogo Jct. - Sub 432 - Joplin Oakland North 161 kV Ckt </v>
          </cell>
          <cell r="B420" t="str">
            <v>EMDE</v>
          </cell>
          <cell r="C420" t="str">
            <v/>
          </cell>
          <cell r="D420" t="str">
            <v>99</v>
          </cell>
          <cell r="E420">
            <v>38777</v>
          </cell>
          <cell r="F420" t="str">
            <v/>
          </cell>
          <cell r="G420" t="str">
            <v/>
          </cell>
          <cell r="H420" t="str">
            <v>Reconstruct and reconductor 1.4 miles of the Oronogo Jct to Joplin Oakland North 161kV facility to 795 KCMIL ACSR</v>
          </cell>
          <cell r="I420" t="str">
            <v/>
          </cell>
        </row>
        <row r="421">
          <cell r="A421" t="str">
            <v>Line - SUB 152 - Monett - SUB 124 - Aurora 69 kV</v>
          </cell>
          <cell r="B421" t="str">
            <v>EMDE</v>
          </cell>
          <cell r="C421" t="str">
            <v>PL</v>
          </cell>
          <cell r="D421" t="str">
            <v>1</v>
          </cell>
          <cell r="E421">
            <v>38200</v>
          </cell>
          <cell r="F421" t="str">
            <v/>
          </cell>
          <cell r="G421">
            <v>425000</v>
          </cell>
          <cell r="H421" t="str">
            <v>Rebuild 69KV Bus Monett Sub #152</v>
          </cell>
          <cell r="I421" t="str">
            <v/>
          </cell>
        </row>
        <row r="422">
          <cell r="A422" t="str">
            <v>Line - SUB 152 - Monett - SUB 383 - Monett 69 kV</v>
          </cell>
          <cell r="B422" t="str">
            <v>EMDE</v>
          </cell>
          <cell r="C422" t="str">
            <v>PL</v>
          </cell>
          <cell r="D422" t="str">
            <v>1</v>
          </cell>
          <cell r="E422">
            <v>38200</v>
          </cell>
          <cell r="F422" t="str">
            <v/>
          </cell>
          <cell r="G422">
            <v>425000</v>
          </cell>
          <cell r="H422" t="str">
            <v>Rebuild 69KV Bus Monett Sub #152</v>
          </cell>
          <cell r="I422" t="str">
            <v/>
          </cell>
        </row>
        <row r="423">
          <cell r="A423" t="str">
            <v>Line - SUB 221 - Billings Northeast - SUB 359 - Republic East 69 kV</v>
          </cell>
          <cell r="B423" t="str">
            <v>EMDE</v>
          </cell>
          <cell r="C423" t="str">
            <v>PL</v>
          </cell>
          <cell r="D423" t="str">
            <v>1</v>
          </cell>
          <cell r="E423">
            <v>38534</v>
          </cell>
          <cell r="F423" t="str">
            <v/>
          </cell>
          <cell r="G423">
            <v>800000</v>
          </cell>
          <cell r="H423" t="str">
            <v>Reconductor 69KV line</v>
          </cell>
          <cell r="I423" t="str">
            <v>This is one of those projects that is under the radar screen of the expansion plan because it is an overload due to the loss of a 69 kV facility.  The facility is the EMDE Blackhawk Jct. to AECI Jamesville 69 kV line tie line (59604 to 96673). </v>
          </cell>
        </row>
        <row r="424">
          <cell r="A424" t="str">
            <v>Line - SUB 393 - Reinmiller - SUB 131 - Diamond 69 kV</v>
          </cell>
          <cell r="B424" t="str">
            <v>EMDE</v>
          </cell>
          <cell r="C424" t="str">
            <v>PL</v>
          </cell>
          <cell r="D424" t="str">
            <v>1</v>
          </cell>
          <cell r="E424">
            <v>38183</v>
          </cell>
          <cell r="F424" t="str">
            <v/>
          </cell>
          <cell r="G424">
            <v>1200000</v>
          </cell>
          <cell r="H424" t="str">
            <v>Reconductor 69KV LINE FROM REINMILLER</v>
          </cell>
          <cell r="I424" t="str">
            <v/>
          </cell>
        </row>
        <row r="425">
          <cell r="A425" t="str">
            <v>Multi - Ozark South Sub 161/69 - Riverdale Sub 161/13.2</v>
          </cell>
          <cell r="B425" t="str">
            <v>EMDE</v>
          </cell>
          <cell r="C425" t="str">
            <v/>
          </cell>
          <cell r="D425" t="str">
            <v>99</v>
          </cell>
          <cell r="E425">
            <v>39600</v>
          </cell>
          <cell r="F425" t="str">
            <v/>
          </cell>
          <cell r="G425">
            <v>7900000</v>
          </cell>
          <cell r="H425" t="str">
            <v>The upgrade includes 8 miles of a new 161 kV line from AECI's Riverdale Sub (Bus # 96726) to a new EMDE substation location near Ozark (Bus #59621).  The Ozark substation will include a 75 MVA 161/69 kV auto-xfmr.  The 69 kV side (Bus #59442) of the Auto-</v>
          </cell>
          <cell r="I425" t="str">
            <v/>
          </cell>
        </row>
        <row r="426">
          <cell r="A426" t="str">
            <v>XFR - Sub 167 - Riverton 161/69 kV Ckt </v>
          </cell>
          <cell r="B426" t="str">
            <v>EMDE</v>
          </cell>
          <cell r="C426" t="str">
            <v/>
          </cell>
          <cell r="D426" t="str">
            <v>99</v>
          </cell>
          <cell r="E426">
            <v>39234</v>
          </cell>
          <cell r="F426" t="str">
            <v/>
          </cell>
          <cell r="G426" t="str">
            <v/>
          </cell>
          <cell r="H426" t="str">
            <v>Install a new 75MVA autotransformer at Riverton Sub</v>
          </cell>
          <cell r="I426" t="str">
            <v/>
          </cell>
        </row>
        <row r="427">
          <cell r="A427" t="str">
            <v>Device - Golden Substation</v>
          </cell>
          <cell r="B427" t="str">
            <v>SPRM</v>
          </cell>
          <cell r="C427" t="str">
            <v>PR/EXP</v>
          </cell>
          <cell r="D427" t="str">
            <v>9</v>
          </cell>
          <cell r="E427">
            <v>38869</v>
          </cell>
          <cell r="F427" t="str">
            <v/>
          </cell>
          <cell r="G427" t="str">
            <v/>
          </cell>
          <cell r="H427" t="str">
            <v/>
          </cell>
          <cell r="I427" t="str">
            <v/>
          </cell>
        </row>
        <row r="428">
          <cell r="A428" t="str">
            <v>Device - Goldern</v>
          </cell>
          <cell r="B428" t="str">
            <v>SPRM</v>
          </cell>
          <cell r="C428" t="str">
            <v>OOC</v>
          </cell>
          <cell r="D428" t="str">
            <v>6a</v>
          </cell>
          <cell r="E428">
            <v>42156</v>
          </cell>
          <cell r="F428" t="str">
            <v/>
          </cell>
          <cell r="G428">
            <v>550000</v>
          </cell>
          <cell r="H428" t="str">
            <v>Capacitor Bank</v>
          </cell>
          <cell r="I428" t="str">
            <v>(See Attached Word File)</v>
          </cell>
        </row>
        <row r="429">
          <cell r="A429" t="str">
            <v>Device - Mentor Substation</v>
          </cell>
          <cell r="B429" t="str">
            <v>SPRM</v>
          </cell>
          <cell r="C429" t="str">
            <v>PL</v>
          </cell>
          <cell r="D429" t="str">
            <v>6a</v>
          </cell>
          <cell r="E429">
            <v>40330</v>
          </cell>
          <cell r="F429" t="str">
            <v/>
          </cell>
          <cell r="G429">
            <v>3500000</v>
          </cell>
          <cell r="H429" t="str">
            <v/>
          </cell>
          <cell r="I429" t="str">
            <v/>
          </cell>
        </row>
        <row r="430">
          <cell r="A430" t="str">
            <v>Device - Seminole Substation</v>
          </cell>
          <cell r="B430" t="str">
            <v>SPRM</v>
          </cell>
          <cell r="C430" t="str">
            <v>PL</v>
          </cell>
          <cell r="D430" t="str">
            <v>1</v>
          </cell>
          <cell r="E430">
            <v>38139</v>
          </cell>
          <cell r="F430" t="str">
            <v/>
          </cell>
          <cell r="G430">
            <v>3400000</v>
          </cell>
          <cell r="H430" t="str">
            <v/>
          </cell>
          <cell r="I430" t="str">
            <v/>
          </cell>
        </row>
        <row r="431">
          <cell r="A431" t="str">
            <v>Device - Sunset</v>
          </cell>
          <cell r="B431" t="str">
            <v>SPRM</v>
          </cell>
          <cell r="C431" t="str">
            <v>OOC</v>
          </cell>
          <cell r="D431" t="str">
            <v>6a</v>
          </cell>
          <cell r="E431">
            <v>41426</v>
          </cell>
          <cell r="F431" t="str">
            <v/>
          </cell>
          <cell r="G431">
            <v>550000</v>
          </cell>
          <cell r="H431" t="str">
            <v>Capacitor Bank</v>
          </cell>
          <cell r="I431" t="str">
            <v>(See Attached Word File)</v>
          </cell>
        </row>
        <row r="432">
          <cell r="A432" t="str">
            <v>Gen - SWPS 2</v>
          </cell>
          <cell r="B432" t="str">
            <v>SPRM</v>
          </cell>
          <cell r="C432" t="str">
            <v>PL</v>
          </cell>
          <cell r="D432" t="str">
            <v>9</v>
          </cell>
          <cell r="E432">
            <v>39965</v>
          </cell>
          <cell r="F432" t="str">
            <v/>
          </cell>
          <cell r="G432">
            <v>578500000</v>
          </cell>
          <cell r="H432" t="str">
            <v>Coal</v>
          </cell>
          <cell r="I432" t="str">
            <v/>
          </cell>
        </row>
        <row r="433">
          <cell r="A433" t="str">
            <v>Line - James River - Seminole 69 kV</v>
          </cell>
          <cell r="B433" t="str">
            <v>SPRM</v>
          </cell>
          <cell r="C433" t="str">
            <v>OOC</v>
          </cell>
          <cell r="D433" t="str">
            <v>6b</v>
          </cell>
          <cell r="E433">
            <v>42522</v>
          </cell>
          <cell r="F433" t="str">
            <v/>
          </cell>
          <cell r="G433">
            <v>1600000</v>
          </cell>
          <cell r="H433" t="str">
            <v>Reconductor 69kV Line</v>
          </cell>
          <cell r="I433" t="str">
            <v>(See Attached Word File)</v>
          </cell>
        </row>
        <row r="434">
          <cell r="A434" t="str">
            <v>Line - James River - Twin Oaks 69 kV</v>
          </cell>
          <cell r="B434" t="str">
            <v>SPRM</v>
          </cell>
          <cell r="C434" t="str">
            <v>OOC</v>
          </cell>
          <cell r="D434" t="str">
            <v>6b</v>
          </cell>
          <cell r="E434">
            <v>41791</v>
          </cell>
          <cell r="F434" t="str">
            <v/>
          </cell>
          <cell r="G434">
            <v>923000</v>
          </cell>
          <cell r="H434" t="str">
            <v>Reconductor 69kV Line</v>
          </cell>
          <cell r="I434" t="str">
            <v>(See Attached Word File)</v>
          </cell>
        </row>
        <row r="435">
          <cell r="A435" t="str">
            <v>Line - Kickapoo - Sunset 69 kV</v>
          </cell>
          <cell r="B435" t="str">
            <v>SPRM</v>
          </cell>
          <cell r="C435" t="str">
            <v>OOC</v>
          </cell>
          <cell r="D435" t="str">
            <v>6b</v>
          </cell>
          <cell r="E435">
            <v>41061</v>
          </cell>
          <cell r="F435" t="str">
            <v/>
          </cell>
          <cell r="G435">
            <v>694000</v>
          </cell>
          <cell r="H435" t="str">
            <v>Reconductor 69kV Line</v>
          </cell>
          <cell r="I435" t="str">
            <v>(See Attached Word File)</v>
          </cell>
        </row>
        <row r="436">
          <cell r="A436" t="str">
            <v>Line - Norton - Neergard 69 kV</v>
          </cell>
          <cell r="B436" t="str">
            <v>SPRM</v>
          </cell>
          <cell r="C436" t="str">
            <v>OOC</v>
          </cell>
          <cell r="D436" t="str">
            <v>6b</v>
          </cell>
          <cell r="E436">
            <v>40330</v>
          </cell>
          <cell r="F436" t="str">
            <v/>
          </cell>
          <cell r="G436">
            <v>1400000</v>
          </cell>
          <cell r="H436" t="str">
            <v>Reconductor 69kV Line</v>
          </cell>
          <cell r="I436" t="str">
            <v>(See Attached Word File)</v>
          </cell>
        </row>
        <row r="437">
          <cell r="A437" t="str">
            <v>Line - Norton - NEERGRD 69 kV</v>
          </cell>
          <cell r="B437" t="str">
            <v>SPRM</v>
          </cell>
          <cell r="C437" t="str">
            <v>PR/EXP</v>
          </cell>
          <cell r="D437" t="str">
            <v>9</v>
          </cell>
          <cell r="E437">
            <v>39234</v>
          </cell>
          <cell r="F437" t="str">
            <v/>
          </cell>
          <cell r="G437" t="str">
            <v/>
          </cell>
          <cell r="H437" t="str">
            <v>Reconductor</v>
          </cell>
          <cell r="I437" t="str">
            <v/>
          </cell>
        </row>
        <row r="438">
          <cell r="A438" t="str">
            <v>Line - Southwest - Brookline 161 kV</v>
          </cell>
          <cell r="B438" t="str">
            <v>SPRM</v>
          </cell>
          <cell r="C438" t="str">
            <v>OOC</v>
          </cell>
          <cell r="D438" t="str">
            <v>6b</v>
          </cell>
          <cell r="E438">
            <v>41061</v>
          </cell>
          <cell r="F438" t="str">
            <v/>
          </cell>
          <cell r="G438">
            <v>450000</v>
          </cell>
          <cell r="H438" t="str">
            <v>Reconductor 161kV Line</v>
          </cell>
          <cell r="I438" t="str">
            <v>(See Attached Word File)</v>
          </cell>
        </row>
        <row r="439">
          <cell r="A439" t="str">
            <v>Line - Southwest - Southwest Disposal 161 kV</v>
          </cell>
          <cell r="B439" t="str">
            <v>SPRM</v>
          </cell>
          <cell r="C439" t="str">
            <v>OOC</v>
          </cell>
          <cell r="D439" t="str">
            <v>6b</v>
          </cell>
          <cell r="E439">
            <v>41061</v>
          </cell>
          <cell r="F439" t="str">
            <v/>
          </cell>
          <cell r="G439">
            <v>175000</v>
          </cell>
          <cell r="H439" t="str">
            <v>Reconductor 161kV Line</v>
          </cell>
          <cell r="I439" t="str">
            <v>(See Attached Word File)</v>
          </cell>
        </row>
        <row r="440">
          <cell r="A440" t="str">
            <v>Line - Southwest Disposal - Battlefield 161 kV</v>
          </cell>
          <cell r="B440" t="str">
            <v>SPRM</v>
          </cell>
          <cell r="C440" t="str">
            <v>OOC</v>
          </cell>
          <cell r="D440" t="str">
            <v>6b</v>
          </cell>
          <cell r="E440">
            <v>41061</v>
          </cell>
          <cell r="F440" t="str">
            <v/>
          </cell>
          <cell r="G440">
            <v>675000</v>
          </cell>
          <cell r="H440" t="str">
            <v>Reconductor 161kV Line</v>
          </cell>
          <cell r="I440" t="str">
            <v>(See Attached Word File)</v>
          </cell>
        </row>
        <row r="441">
          <cell r="A441" t="str">
            <v>Line - Sunset - Seminole 69 kV</v>
          </cell>
          <cell r="B441" t="str">
            <v>SPRM</v>
          </cell>
          <cell r="C441" t="str">
            <v>PL</v>
          </cell>
          <cell r="D441" t="str">
            <v>1</v>
          </cell>
          <cell r="E441">
            <v>38139</v>
          </cell>
          <cell r="F441" t="str">
            <v/>
          </cell>
          <cell r="G441">
            <v>400000</v>
          </cell>
          <cell r="H441" t="str">
            <v>Line Feed for new Seminole Substation</v>
          </cell>
          <cell r="I441" t="str">
            <v/>
          </cell>
        </row>
        <row r="442">
          <cell r="A442" t="str">
            <v>Line - SWPS Bus - Battlefield 161 kV</v>
          </cell>
          <cell r="B442" t="str">
            <v>SPRM</v>
          </cell>
          <cell r="C442" t="str">
            <v>PR/EXP</v>
          </cell>
          <cell r="D442" t="str">
            <v>9</v>
          </cell>
          <cell r="E442">
            <v>39600</v>
          </cell>
          <cell r="F442" t="str">
            <v/>
          </cell>
          <cell r="G442" t="str">
            <v/>
          </cell>
          <cell r="H442" t="str">
            <v>Outlet Capacity for</v>
          </cell>
          <cell r="I442" t="str">
            <v/>
          </cell>
        </row>
        <row r="443">
          <cell r="A443" t="str">
            <v>Line - SWPS Bus - SWPS #2 161 kV</v>
          </cell>
          <cell r="B443" t="str">
            <v>SPRM</v>
          </cell>
          <cell r="C443" t="str">
            <v>PL</v>
          </cell>
          <cell r="D443" t="str">
            <v>5a</v>
          </cell>
          <cell r="E443">
            <v>39600</v>
          </cell>
          <cell r="F443" t="str">
            <v/>
          </cell>
          <cell r="G443">
            <v>2000000</v>
          </cell>
          <cell r="H443" t="str">
            <v>Step-Up Transformer for</v>
          </cell>
          <cell r="I443" t="str">
            <v/>
          </cell>
        </row>
        <row r="444">
          <cell r="A444" t="str">
            <v>Multi - Battlefield - Sunset 161 kV &amp; 161/69 kV XF</v>
          </cell>
          <cell r="B444" t="str">
            <v>SPRM</v>
          </cell>
          <cell r="C444" t="str">
            <v>PR/EXP</v>
          </cell>
          <cell r="D444" t="str">
            <v>99</v>
          </cell>
          <cell r="E444">
            <v>42522</v>
          </cell>
          <cell r="F444" t="str">
            <v/>
          </cell>
          <cell r="G444">
            <v>8550000</v>
          </cell>
          <cell r="H444" t="str">
            <v>New 161 kV line</v>
          </cell>
          <cell r="I444" t="str">
            <v>In 2001, the 69 kV tie between CU and SWPA at Golden Substation was opened in an effort to increase voltage on the SWPA Springfield 69 kV bus to provide for 69 kV support to other systems connected to this bus. Historically this tie has not had a signific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1"/>
  </sheetPr>
  <dimension ref="A2:H63"/>
  <sheetViews>
    <sheetView showGridLines="0" zoomScale="130" zoomScaleNormal="130" workbookViewId="0" topLeftCell="A1">
      <pane xSplit="1" topLeftCell="B1" activePane="topRight" state="frozen"/>
      <selection pane="topLeft" activeCell="A1" sqref="A1"/>
      <selection pane="topRight" activeCell="H14" sqref="H14"/>
    </sheetView>
  </sheetViews>
  <sheetFormatPr defaultColWidth="9.140625" defaultRowHeight="12.75"/>
  <cols>
    <col min="1" max="1" width="9.00390625" style="0" bestFit="1" customWidth="1"/>
    <col min="2" max="5" width="13.8515625" style="0" customWidth="1"/>
    <col min="6" max="6" width="16.8515625" style="0" customWidth="1"/>
    <col min="7" max="7" width="2.57421875" style="0" customWidth="1"/>
    <col min="8" max="8" width="13.00390625" style="0" customWidth="1"/>
  </cols>
  <sheetData>
    <row r="2" spans="1:2" ht="20.25">
      <c r="A2" s="15">
        <v>2006</v>
      </c>
      <c r="B2" s="139" t="s">
        <v>403</v>
      </c>
    </row>
    <row r="3" ht="6.75" customHeight="1"/>
    <row r="4" spans="2:8" ht="15.75">
      <c r="B4" s="183" t="s">
        <v>404</v>
      </c>
      <c r="C4" s="184"/>
      <c r="D4" s="183" t="s">
        <v>405</v>
      </c>
      <c r="E4" s="185"/>
      <c r="F4" s="143" t="s">
        <v>448</v>
      </c>
      <c r="G4" s="142"/>
      <c r="H4" s="146" t="s">
        <v>406</v>
      </c>
    </row>
    <row r="5" spans="1:8" ht="25.5">
      <c r="A5" s="120" t="s">
        <v>1</v>
      </c>
      <c r="B5" s="144" t="s">
        <v>362</v>
      </c>
      <c r="C5" s="144" t="s">
        <v>363</v>
      </c>
      <c r="D5" s="144" t="s">
        <v>362</v>
      </c>
      <c r="E5" s="144" t="s">
        <v>363</v>
      </c>
      <c r="F5" s="145" t="s">
        <v>451</v>
      </c>
      <c r="H5" s="147"/>
    </row>
    <row r="6" spans="1:8" ht="12.75">
      <c r="A6" s="5" t="s">
        <v>5</v>
      </c>
      <c r="B6" s="130">
        <f>'MW-mi Allocations'!D8</f>
        <v>0</v>
      </c>
      <c r="C6" s="127">
        <f>'MW-mi Allocations'!E8</f>
        <v>0</v>
      </c>
      <c r="D6" s="130">
        <f>'No MW-mi Allocations'!D8</f>
        <v>0</v>
      </c>
      <c r="E6" s="127">
        <f>'No MW-mi Allocations'!E8</f>
        <v>0</v>
      </c>
      <c r="F6" s="130">
        <f>'100% Zonal'!C8</f>
        <v>0</v>
      </c>
      <c r="H6" s="148">
        <f>SUM(B6:F6)</f>
        <v>0</v>
      </c>
    </row>
    <row r="7" spans="1:8" ht="12.75">
      <c r="A7" s="5" t="s">
        <v>6</v>
      </c>
      <c r="B7" s="130">
        <f>'MW-mi Allocations'!D9</f>
        <v>0</v>
      </c>
      <c r="C7" s="127">
        <f>'MW-mi Allocations'!E9</f>
        <v>0</v>
      </c>
      <c r="D7" s="130">
        <f>'No MW-mi Allocations'!D9</f>
        <v>0</v>
      </c>
      <c r="E7" s="127">
        <f>'No MW-mi Allocations'!E9</f>
        <v>0</v>
      </c>
      <c r="F7" s="130">
        <f>'100% Zonal'!C9</f>
        <v>0</v>
      </c>
      <c r="H7" s="148">
        <f aca="true" t="shared" si="0" ref="H7:H21">SUM(B7:F7)</f>
        <v>0</v>
      </c>
    </row>
    <row r="8" spans="1:8" ht="12.75">
      <c r="A8" s="5" t="s">
        <v>7</v>
      </c>
      <c r="B8" s="130">
        <f>'MW-mi Allocations'!D10</f>
        <v>346343.9110869846</v>
      </c>
      <c r="C8" s="127">
        <f>'MW-mi Allocations'!E10</f>
        <v>64743.31145578888</v>
      </c>
      <c r="D8" s="130">
        <f>'No MW-mi Allocations'!D10</f>
        <v>347537.1765470027</v>
      </c>
      <c r="E8" s="127">
        <f>'No MW-mi Allocations'!E10</f>
        <v>260205.72116000002</v>
      </c>
      <c r="F8" s="130">
        <f>'100% Zonal'!C10</f>
        <v>24137.822</v>
      </c>
      <c r="H8" s="148">
        <f t="shared" si="0"/>
        <v>1042967.9422497762</v>
      </c>
    </row>
    <row r="9" spans="1:8" ht="12.75">
      <c r="A9" s="5" t="s">
        <v>8</v>
      </c>
      <c r="B9" s="130">
        <f>'MW-mi Allocations'!D11</f>
        <v>30139.527758416243</v>
      </c>
      <c r="C9" s="127">
        <f>'MW-mi Allocations'!E11</f>
        <v>0</v>
      </c>
      <c r="D9" s="130">
        <f>'No MW-mi Allocations'!D11</f>
        <v>30243.36806368536</v>
      </c>
      <c r="E9" s="127">
        <f>'No MW-mi Allocations'!E11</f>
        <v>0</v>
      </c>
      <c r="F9" s="130">
        <f>'100% Zonal'!C11</f>
        <v>0</v>
      </c>
      <c r="H9" s="148">
        <f t="shared" si="0"/>
        <v>60382.89582210161</v>
      </c>
    </row>
    <row r="10" spans="1:8" ht="12.75">
      <c r="A10" s="5" t="s">
        <v>9</v>
      </c>
      <c r="B10" s="130">
        <f>'MW-mi Allocations'!D12</f>
        <v>218461.30646537736</v>
      </c>
      <c r="C10" s="127">
        <f>'MW-mi Allocations'!E12</f>
        <v>1037787.6242928145</v>
      </c>
      <c r="D10" s="130">
        <f>'No MW-mi Allocations'!D12</f>
        <v>219213.9754831101</v>
      </c>
      <c r="E10" s="127">
        <f>'No MW-mi Allocations'!E12</f>
        <v>0</v>
      </c>
      <c r="F10" s="130">
        <f>'100% Zonal'!C12</f>
        <v>39125.25370026</v>
      </c>
      <c r="H10" s="148">
        <f t="shared" si="0"/>
        <v>1514588.1599415622</v>
      </c>
    </row>
    <row r="11" spans="1:8" ht="12.75">
      <c r="A11" s="5" t="s">
        <v>10</v>
      </c>
      <c r="B11" s="130">
        <f>'MW-mi Allocations'!D13</f>
        <v>48717.005394534186</v>
      </c>
      <c r="C11" s="127">
        <f>'MW-mi Allocations'!E13</f>
        <v>57320.82163270346</v>
      </c>
      <c r="D11" s="130">
        <f>'No MW-mi Allocations'!D13</f>
        <v>48884.85104734317</v>
      </c>
      <c r="E11" s="127">
        <f>'No MW-mi Allocations'!E13</f>
        <v>0</v>
      </c>
      <c r="F11" s="130">
        <f>'100% Zonal'!C13</f>
        <v>16418.97</v>
      </c>
      <c r="H11" s="148">
        <f t="shared" si="0"/>
        <v>171341.64807458082</v>
      </c>
    </row>
    <row r="12" spans="1:8" ht="12.75">
      <c r="A12" s="5" t="s">
        <v>11</v>
      </c>
      <c r="B12" s="130">
        <f>'MW-mi Allocations'!D14</f>
        <v>177891.72962723242</v>
      </c>
      <c r="C12" s="127">
        <f>'MW-mi Allocations'!E14</f>
        <v>38536.66972569129</v>
      </c>
      <c r="D12" s="130">
        <f>'No MW-mi Allocations'!D14</f>
        <v>178504.62348732902</v>
      </c>
      <c r="E12" s="127">
        <f>'No MW-mi Allocations'!E14</f>
        <v>1530398.1042499999</v>
      </c>
      <c r="F12" s="130">
        <f>'100% Zonal'!C14</f>
        <v>0</v>
      </c>
      <c r="H12" s="148">
        <f t="shared" si="0"/>
        <v>1925331.1270902525</v>
      </c>
    </row>
    <row r="13" spans="1:8" ht="12.75">
      <c r="A13" s="5" t="s">
        <v>12</v>
      </c>
      <c r="B13" s="130">
        <f>'MW-mi Allocations'!D15</f>
        <v>11085.418104374248</v>
      </c>
      <c r="C13" s="127">
        <f>'MW-mi Allocations'!E15</f>
        <v>0</v>
      </c>
      <c r="D13" s="130">
        <f>'No MW-mi Allocations'!D15</f>
        <v>11123.61091247731</v>
      </c>
      <c r="E13" s="127">
        <f>'No MW-mi Allocations'!E15</f>
        <v>0</v>
      </c>
      <c r="F13" s="130">
        <f>'100% Zonal'!C15</f>
        <v>0</v>
      </c>
      <c r="H13" s="148">
        <f t="shared" si="0"/>
        <v>22209.029016851557</v>
      </c>
    </row>
    <row r="14" spans="1:8" ht="12.75">
      <c r="A14" s="5" t="s">
        <v>13</v>
      </c>
      <c r="B14" s="130">
        <f>'MW-mi Allocations'!D16</f>
        <v>15025.07962752774</v>
      </c>
      <c r="C14" s="127">
        <f>'MW-mi Allocations'!E16</f>
        <v>21696.20507735465</v>
      </c>
      <c r="D14" s="130">
        <f>'No MW-mi Allocations'!D16</f>
        <v>15076.845828634843</v>
      </c>
      <c r="E14" s="127">
        <f>'No MW-mi Allocations'!E16</f>
        <v>0</v>
      </c>
      <c r="F14" s="130">
        <f>'100% Zonal'!C16</f>
        <v>0</v>
      </c>
      <c r="H14" s="148">
        <f t="shared" si="0"/>
        <v>51798.13053351724</v>
      </c>
    </row>
    <row r="15" spans="1:8" ht="12.75">
      <c r="A15" s="5" t="s">
        <v>14</v>
      </c>
      <c r="B15" s="130">
        <f>'MW-mi Allocations'!D17</f>
        <v>178010.8876317134</v>
      </c>
      <c r="C15" s="127">
        <f>'MW-mi Allocations'!E17</f>
        <v>1262825.4424077917</v>
      </c>
      <c r="D15" s="130">
        <f>'No MW-mi Allocations'!D17</f>
        <v>178624.19202921656</v>
      </c>
      <c r="E15" s="127">
        <f>'No MW-mi Allocations'!E17</f>
        <v>759147.2017500001</v>
      </c>
      <c r="F15" s="130">
        <f>'100% Zonal'!C17</f>
        <v>6693.155000000001</v>
      </c>
      <c r="H15" s="148">
        <f t="shared" si="0"/>
        <v>2385300.8788187215</v>
      </c>
    </row>
    <row r="16" spans="1:8" ht="12.75">
      <c r="A16" s="5" t="s">
        <v>15</v>
      </c>
      <c r="B16" s="130">
        <f>'MW-mi Allocations'!D18</f>
        <v>18707.80670351905</v>
      </c>
      <c r="C16" s="127">
        <f>'MW-mi Allocations'!E18</f>
        <v>26218.109129454206</v>
      </c>
      <c r="D16" s="130">
        <f>'No MW-mi Allocations'!D18</f>
        <v>18772.26107634733</v>
      </c>
      <c r="E16" s="127">
        <f>'No MW-mi Allocations'!E18</f>
        <v>0</v>
      </c>
      <c r="F16" s="130">
        <f>'100% Zonal'!C18</f>
        <v>0</v>
      </c>
      <c r="H16" s="148">
        <f t="shared" si="0"/>
        <v>63698.176909320595</v>
      </c>
    </row>
    <row r="17" spans="1:8" ht="12.75">
      <c r="A17" s="5" t="s">
        <v>16</v>
      </c>
      <c r="B17" s="130">
        <f>'MW-mi Allocations'!D19</f>
        <v>62368.04428289024</v>
      </c>
      <c r="C17" s="127">
        <f>'MW-mi Allocations'!E19</f>
        <v>62786.02695999999</v>
      </c>
      <c r="D17" s="130">
        <f>'No MW-mi Allocations'!D19</f>
        <v>62582.92212733705</v>
      </c>
      <c r="E17" s="127">
        <f>'No MW-mi Allocations'!E19</f>
        <v>0</v>
      </c>
      <c r="F17" s="130">
        <f>'100% Zonal'!C19</f>
        <v>13112.474999999997</v>
      </c>
      <c r="H17" s="148">
        <f t="shared" si="0"/>
        <v>200849.4683702273</v>
      </c>
    </row>
    <row r="18" spans="1:8" ht="12.75">
      <c r="A18" s="5" t="s">
        <v>17</v>
      </c>
      <c r="B18" s="130">
        <f>'MW-mi Allocations'!D20</f>
        <v>119038.84647653204</v>
      </c>
      <c r="C18" s="127">
        <f>'MW-mi Allocations'!E20</f>
        <v>47730.28493787122</v>
      </c>
      <c r="D18" s="130">
        <f>'No MW-mi Allocations'!D20</f>
        <v>119448.97334567504</v>
      </c>
      <c r="E18" s="127">
        <f>'No MW-mi Allocations'!E20</f>
        <v>78918.98094600001</v>
      </c>
      <c r="F18" s="130">
        <f>'100% Zonal'!C20</f>
        <v>0</v>
      </c>
      <c r="H18" s="148">
        <f t="shared" si="0"/>
        <v>365137.08570607833</v>
      </c>
    </row>
    <row r="19" spans="1:8" ht="12.75">
      <c r="A19" s="5" t="s">
        <v>18</v>
      </c>
      <c r="B19" s="130">
        <f>'MW-mi Allocations'!D21</f>
        <v>40603.09002690519</v>
      </c>
      <c r="C19" s="127">
        <f>'MW-mi Allocations'!E21</f>
        <v>0</v>
      </c>
      <c r="D19" s="130">
        <f>'No MW-mi Allocations'!D21</f>
        <v>40742.980648186945</v>
      </c>
      <c r="E19" s="127">
        <f>'No MW-mi Allocations'!E21</f>
        <v>0</v>
      </c>
      <c r="F19" s="130">
        <f>'100% Zonal'!C21</f>
        <v>0</v>
      </c>
      <c r="H19" s="148">
        <f t="shared" si="0"/>
        <v>81346.07067509214</v>
      </c>
    </row>
    <row r="20" spans="1:8" ht="12.75">
      <c r="A20" s="5" t="s">
        <v>19</v>
      </c>
      <c r="B20" s="130">
        <f>'MW-mi Allocations'!D22</f>
        <v>23880.008835523025</v>
      </c>
      <c r="C20" s="127">
        <f>'MW-mi Allocations'!E22</f>
        <v>0</v>
      </c>
      <c r="D20" s="130">
        <f>'No MW-mi Allocations'!D22</f>
        <v>23962.28309765434</v>
      </c>
      <c r="E20" s="127">
        <f>'No MW-mi Allocations'!E22</f>
        <v>0</v>
      </c>
      <c r="F20" s="130">
        <f>'100% Zonal'!C22</f>
        <v>0</v>
      </c>
      <c r="H20" s="148">
        <f t="shared" si="0"/>
        <v>47842.29193317737</v>
      </c>
    </row>
    <row r="21" spans="1:8" ht="12.75">
      <c r="A21" s="2" t="s">
        <v>20</v>
      </c>
      <c r="B21" s="140">
        <f>SUM(B6:B20)</f>
        <v>1290272.6620215299</v>
      </c>
      <c r="C21" s="141">
        <f>SUM(C6:C20)</f>
        <v>2619644.4956194693</v>
      </c>
      <c r="D21" s="140">
        <f>SUM(D6:D20)</f>
        <v>1294718.0636939998</v>
      </c>
      <c r="E21" s="141">
        <f>SUM(E6:E20)</f>
        <v>2628670.0081060003</v>
      </c>
      <c r="F21" s="140">
        <f>SUM(F6:F20)</f>
        <v>99487.67570025999</v>
      </c>
      <c r="H21" s="149">
        <f t="shared" si="0"/>
        <v>7932792.9051412605</v>
      </c>
    </row>
    <row r="23" spans="1:2" ht="20.25">
      <c r="A23" s="15">
        <v>2007</v>
      </c>
      <c r="B23" s="139" t="s">
        <v>403</v>
      </c>
    </row>
    <row r="24" spans="1:2" ht="10.5" customHeight="1">
      <c r="A24" s="15"/>
      <c r="B24" s="139"/>
    </row>
    <row r="25" spans="2:8" ht="15.75">
      <c r="B25" s="183" t="s">
        <v>404</v>
      </c>
      <c r="C25" s="184"/>
      <c r="D25" s="183" t="s">
        <v>405</v>
      </c>
      <c r="E25" s="185"/>
      <c r="F25" s="143" t="s">
        <v>448</v>
      </c>
      <c r="G25" s="142"/>
      <c r="H25" s="146" t="s">
        <v>406</v>
      </c>
    </row>
    <row r="26" spans="1:8" ht="25.5">
      <c r="A26" s="120" t="s">
        <v>1</v>
      </c>
      <c r="B26" s="144" t="s">
        <v>362</v>
      </c>
      <c r="C26" s="144" t="s">
        <v>363</v>
      </c>
      <c r="D26" s="144" t="s">
        <v>362</v>
      </c>
      <c r="E26" s="144" t="s">
        <v>363</v>
      </c>
      <c r="F26" s="145" t="s">
        <v>451</v>
      </c>
      <c r="H26" s="147"/>
    </row>
    <row r="27" spans="1:8" ht="12.75">
      <c r="A27" s="5" t="s">
        <v>5</v>
      </c>
      <c r="B27" s="130">
        <f>'MW-mi Allocations'!D31</f>
        <v>0</v>
      </c>
      <c r="C27" s="127">
        <f>'MW-mi Allocations'!E31</f>
        <v>0</v>
      </c>
      <c r="D27" s="130">
        <f>'No MW-mi Allocations'!D31</f>
        <v>0</v>
      </c>
      <c r="E27" s="127">
        <f>'No MW-mi Allocations'!E31</f>
        <v>0</v>
      </c>
      <c r="F27" s="130">
        <f>'100% Zonal'!C31</f>
        <v>0</v>
      </c>
      <c r="H27" s="150">
        <f aca="true" t="shared" si="1" ref="H27:H42">SUM(B27:F27)</f>
        <v>0</v>
      </c>
    </row>
    <row r="28" spans="1:8" ht="12.75">
      <c r="A28" s="5" t="s">
        <v>6</v>
      </c>
      <c r="B28" s="130">
        <f>'MW-mi Allocations'!D32</f>
        <v>0</v>
      </c>
      <c r="C28" s="127">
        <f>'MW-mi Allocations'!E32</f>
        <v>0</v>
      </c>
      <c r="D28" s="130">
        <f>'No MW-mi Allocations'!D32</f>
        <v>0</v>
      </c>
      <c r="E28" s="127">
        <f>'No MW-mi Allocations'!E32</f>
        <v>0</v>
      </c>
      <c r="F28" s="130">
        <f>'100% Zonal'!C32</f>
        <v>0</v>
      </c>
      <c r="H28" s="150">
        <f t="shared" si="1"/>
        <v>0</v>
      </c>
    </row>
    <row r="29" spans="1:8" ht="12.75">
      <c r="A29" s="5" t="s">
        <v>7</v>
      </c>
      <c r="B29" s="130">
        <f>'MW-mi Allocations'!D33</f>
        <v>375396.58363577176</v>
      </c>
      <c r="C29" s="127">
        <f>'MW-mi Allocations'!E33</f>
        <v>152226.64683873454</v>
      </c>
      <c r="D29" s="130">
        <f>'No MW-mi Allocations'!D33</f>
        <v>366251.3509986301</v>
      </c>
      <c r="E29" s="127">
        <f>'No MW-mi Allocations'!E33</f>
        <v>172585.4273</v>
      </c>
      <c r="F29" s="130">
        <f>'100% Zonal'!C33</f>
        <v>47374.97900000001</v>
      </c>
      <c r="H29" s="150">
        <f t="shared" si="1"/>
        <v>1113834.9877731365</v>
      </c>
    </row>
    <row r="30" spans="1:8" ht="12.75">
      <c r="A30" s="5" t="s">
        <v>8</v>
      </c>
      <c r="B30" s="130">
        <f>'MW-mi Allocations'!D34</f>
        <v>32667.74841629416</v>
      </c>
      <c r="C30" s="127">
        <f>'MW-mi Allocations'!E34</f>
        <v>536306.1363255669</v>
      </c>
      <c r="D30" s="130">
        <f>'No MW-mi Allocations'!D34</f>
        <v>31871.91230051189</v>
      </c>
      <c r="E30" s="127">
        <f>'No MW-mi Allocations'!E34</f>
        <v>0</v>
      </c>
      <c r="F30" s="130">
        <f>'100% Zonal'!C34</f>
        <v>0</v>
      </c>
      <c r="H30" s="150">
        <f t="shared" si="1"/>
        <v>600845.7970423729</v>
      </c>
    </row>
    <row r="31" spans="1:8" ht="12.75">
      <c r="A31" s="5" t="s">
        <v>9</v>
      </c>
      <c r="B31" s="130">
        <f>'MW-mi Allocations'!D35</f>
        <v>236786.6894103219</v>
      </c>
      <c r="C31" s="127">
        <f>'MW-mi Allocations'!E35</f>
        <v>726315.21971133</v>
      </c>
      <c r="D31" s="130">
        <f>'No MW-mi Allocations'!D35</f>
        <v>231018.20494766888</v>
      </c>
      <c r="E31" s="127">
        <f>'No MW-mi Allocations'!E35</f>
        <v>0</v>
      </c>
      <c r="F31" s="130">
        <f>'100% Zonal'!C35</f>
        <v>0</v>
      </c>
      <c r="H31" s="150">
        <f t="shared" si="1"/>
        <v>1194120.1140693207</v>
      </c>
    </row>
    <row r="32" spans="1:8" ht="12.75">
      <c r="A32" s="5" t="s">
        <v>10</v>
      </c>
      <c r="B32" s="130">
        <f>'MW-mi Allocations'!D36</f>
        <v>52803.57703612262</v>
      </c>
      <c r="C32" s="127">
        <f>'MW-mi Allocations'!E36</f>
        <v>19202.048433736232</v>
      </c>
      <c r="D32" s="130">
        <f>'No MW-mi Allocations'!D36</f>
        <v>51517.201461279605</v>
      </c>
      <c r="E32" s="127">
        <f>'No MW-mi Allocations'!E36</f>
        <v>578148.4203000001</v>
      </c>
      <c r="F32" s="130">
        <f>'100% Zonal'!C36</f>
        <v>18243.300000000003</v>
      </c>
      <c r="H32" s="150">
        <f t="shared" si="1"/>
        <v>719914.5472311386</v>
      </c>
    </row>
    <row r="33" spans="1:8" ht="12.75">
      <c r="A33" s="5" t="s">
        <v>11</v>
      </c>
      <c r="B33" s="130">
        <f>'MW-mi Allocations'!D37</f>
        <v>192813.97888455904</v>
      </c>
      <c r="C33" s="127">
        <f>'MW-mi Allocations'!E37</f>
        <v>292934.95818236005</v>
      </c>
      <c r="D33" s="130">
        <f>'No MW-mi Allocations'!D37</f>
        <v>188116.73663607056</v>
      </c>
      <c r="E33" s="127">
        <f>'No MW-mi Allocations'!E37</f>
        <v>1007208.99</v>
      </c>
      <c r="F33" s="130">
        <f>'100% Zonal'!C37</f>
        <v>0</v>
      </c>
      <c r="H33" s="150">
        <f t="shared" si="1"/>
        <v>1681074.6637029895</v>
      </c>
    </row>
    <row r="34" spans="1:8" ht="12.75">
      <c r="A34" s="5" t="s">
        <v>12</v>
      </c>
      <c r="B34" s="130">
        <f>'MW-mi Allocations'!D38</f>
        <v>12015.306033519608</v>
      </c>
      <c r="C34" s="127">
        <f>'MW-mi Allocations'!E38</f>
        <v>0</v>
      </c>
      <c r="D34" s="130">
        <f>'No MW-mi Allocations'!D38</f>
        <v>11722.594875046196</v>
      </c>
      <c r="E34" s="127">
        <f>'No MW-mi Allocations'!E38</f>
        <v>0</v>
      </c>
      <c r="F34" s="130">
        <f>'100% Zonal'!C38</f>
        <v>0</v>
      </c>
      <c r="H34" s="150">
        <f t="shared" si="1"/>
        <v>23737.900908565804</v>
      </c>
    </row>
    <row r="35" spans="1:8" ht="12.75">
      <c r="A35" s="5" t="s">
        <v>13</v>
      </c>
      <c r="B35" s="130">
        <f>'MW-mi Allocations'!D39</f>
        <v>16285.441667870882</v>
      </c>
      <c r="C35" s="127">
        <f>'MW-mi Allocations'!E39</f>
        <v>0</v>
      </c>
      <c r="D35" s="130">
        <f>'No MW-mi Allocations'!D39</f>
        <v>15888.703500440508</v>
      </c>
      <c r="E35" s="127">
        <f>'No MW-mi Allocations'!E39</f>
        <v>0</v>
      </c>
      <c r="F35" s="130">
        <f>'100% Zonal'!C39</f>
        <v>0</v>
      </c>
      <c r="H35" s="150">
        <f t="shared" si="1"/>
        <v>32174.145168311392</v>
      </c>
    </row>
    <row r="36" spans="1:8" ht="12.75">
      <c r="A36" s="5" t="s">
        <v>14</v>
      </c>
      <c r="B36" s="130">
        <f>'MW-mi Allocations'!D40</f>
        <v>192943.13232529553</v>
      </c>
      <c r="C36" s="127">
        <f>'MW-mi Allocations'!E40</f>
        <v>484460.0024272783</v>
      </c>
      <c r="D36" s="130">
        <f>'No MW-mi Allocations'!D40</f>
        <v>188242.743702245</v>
      </c>
      <c r="E36" s="127">
        <f>'No MW-mi Allocations'!E40</f>
        <v>739543.9069200001</v>
      </c>
      <c r="F36" s="130">
        <f>'100% Zonal'!C40</f>
        <v>0</v>
      </c>
      <c r="H36" s="150">
        <f t="shared" si="1"/>
        <v>1605189.7853748188</v>
      </c>
    </row>
    <row r="37" spans="1:8" ht="12.75">
      <c r="A37" s="5" t="s">
        <v>15</v>
      </c>
      <c r="B37" s="130">
        <f>'MW-mi Allocations'!D41</f>
        <v>20277.09019563403</v>
      </c>
      <c r="C37" s="127">
        <f>'MW-mi Allocations'!E41</f>
        <v>65045.19155058819</v>
      </c>
      <c r="D37" s="130">
        <f>'No MW-mi Allocations'!D41</f>
        <v>19783.10938939607</v>
      </c>
      <c r="E37" s="127">
        <f>'No MW-mi Allocations'!E41</f>
        <v>18962.66428</v>
      </c>
      <c r="F37" s="130">
        <f>'100% Zonal'!C41</f>
        <v>0</v>
      </c>
      <c r="H37" s="150">
        <f t="shared" si="1"/>
        <v>124068.05541561829</v>
      </c>
    </row>
    <row r="38" spans="1:8" ht="12.75">
      <c r="A38" s="5" t="s">
        <v>16</v>
      </c>
      <c r="B38" s="130">
        <f>'MW-mi Allocations'!D42</f>
        <v>67599.71809050048</v>
      </c>
      <c r="C38" s="127">
        <f>'MW-mi Allocations'!E42</f>
        <v>0</v>
      </c>
      <c r="D38" s="130">
        <f>'No MW-mi Allocations'!D42</f>
        <v>65952.88597989544</v>
      </c>
      <c r="E38" s="127">
        <f>'No MW-mi Allocations'!E42</f>
        <v>29284.527499999993</v>
      </c>
      <c r="F38" s="130">
        <f>'100% Zonal'!C42</f>
        <v>0</v>
      </c>
      <c r="H38" s="150">
        <f t="shared" si="1"/>
        <v>162837.13157039593</v>
      </c>
    </row>
    <row r="39" spans="1:8" ht="12.75">
      <c r="A39" s="5" t="s">
        <v>17</v>
      </c>
      <c r="B39" s="130">
        <f>'MW-mi Allocations'!D43</f>
        <v>129024.28729578598</v>
      </c>
      <c r="C39" s="127">
        <f>'MW-mi Allocations'!E43</f>
        <v>58352.22954972768</v>
      </c>
      <c r="D39" s="130">
        <f>'No MW-mi Allocations'!D43</f>
        <v>125881.05910832275</v>
      </c>
      <c r="E39" s="127">
        <f>'No MW-mi Allocations'!E43</f>
        <v>224484.63819600004</v>
      </c>
      <c r="F39" s="130">
        <f>'100% Zonal'!C43</f>
        <v>0</v>
      </c>
      <c r="H39" s="150">
        <f t="shared" si="1"/>
        <v>537742.2141498365</v>
      </c>
    </row>
    <row r="40" spans="1:8" ht="12.75">
      <c r="A40" s="5" t="s">
        <v>18</v>
      </c>
      <c r="B40" s="130">
        <f>'MW-mi Allocations'!D44</f>
        <v>44009.03493097003</v>
      </c>
      <c r="C40" s="127">
        <f>'MW-mi Allocations'!E44</f>
        <v>478980.651089294</v>
      </c>
      <c r="D40" s="130">
        <f>'No MW-mi Allocations'!D44</f>
        <v>42936.907798959925</v>
      </c>
      <c r="E40" s="127">
        <f>'No MW-mi Allocations'!E44</f>
        <v>0</v>
      </c>
      <c r="F40" s="130">
        <f>'100% Zonal'!C44</f>
        <v>0</v>
      </c>
      <c r="H40" s="150">
        <f t="shared" si="1"/>
        <v>565926.5938192239</v>
      </c>
    </row>
    <row r="41" spans="1:8" ht="12.75">
      <c r="A41" s="5" t="s">
        <v>19</v>
      </c>
      <c r="B41" s="130">
        <f>'MW-mi Allocations'!D45</f>
        <v>25883.15673260371</v>
      </c>
      <c r="C41" s="127">
        <f>'MW-mi Allocations'!E45</f>
        <v>25567.367161134247</v>
      </c>
      <c r="D41" s="130">
        <f>'No MW-mi Allocations'!D45</f>
        <v>25252.603605532833</v>
      </c>
      <c r="E41" s="127">
        <f>'No MW-mi Allocations'!E45</f>
        <v>0</v>
      </c>
      <c r="F41" s="130">
        <f>'100% Zonal'!C45</f>
        <v>0</v>
      </c>
      <c r="H41" s="150">
        <f t="shared" si="1"/>
        <v>76703.12749927079</v>
      </c>
    </row>
    <row r="42" spans="1:8" ht="12.75">
      <c r="A42" s="2" t="s">
        <v>20</v>
      </c>
      <c r="B42" s="140">
        <f>SUM(B27:B41)</f>
        <v>1398505.7446552494</v>
      </c>
      <c r="C42" s="141">
        <f>SUM(C27:C41)</f>
        <v>2839390.45126975</v>
      </c>
      <c r="D42" s="140">
        <f>SUM(D27:D41)</f>
        <v>1364436.0143039997</v>
      </c>
      <c r="E42" s="141">
        <f>SUM(E27:E41)</f>
        <v>2770218.574496</v>
      </c>
      <c r="F42" s="140">
        <f>SUM(F27:F41)</f>
        <v>65618.27900000001</v>
      </c>
      <c r="H42" s="149">
        <f t="shared" si="1"/>
        <v>8438169.063724998</v>
      </c>
    </row>
    <row r="44" spans="1:2" ht="20.25">
      <c r="A44" s="15">
        <v>2008</v>
      </c>
      <c r="B44" s="139" t="s">
        <v>403</v>
      </c>
    </row>
    <row r="45" ht="9" customHeight="1"/>
    <row r="46" spans="2:8" ht="15.75">
      <c r="B46" s="183" t="s">
        <v>404</v>
      </c>
      <c r="C46" s="184"/>
      <c r="D46" s="183" t="s">
        <v>405</v>
      </c>
      <c r="E46" s="185"/>
      <c r="F46" s="143" t="s">
        <v>448</v>
      </c>
      <c r="G46" s="142"/>
      <c r="H46" s="146" t="s">
        <v>406</v>
      </c>
    </row>
    <row r="47" spans="1:8" ht="25.5">
      <c r="A47" s="120" t="s">
        <v>1</v>
      </c>
      <c r="B47" s="144" t="s">
        <v>362</v>
      </c>
      <c r="C47" s="144" t="s">
        <v>363</v>
      </c>
      <c r="D47" s="144" t="s">
        <v>362</v>
      </c>
      <c r="E47" s="144" t="s">
        <v>363</v>
      </c>
      <c r="F47" s="145" t="s">
        <v>451</v>
      </c>
      <c r="H47" s="147"/>
    </row>
    <row r="48" spans="1:8" ht="12.75">
      <c r="A48" s="5" t="s">
        <v>5</v>
      </c>
      <c r="B48" s="130">
        <f>'MW-mi Allocations'!D54</f>
        <v>0</v>
      </c>
      <c r="C48" s="127">
        <f>'MW-mi Allocations'!E54</f>
        <v>0</v>
      </c>
      <c r="D48" s="130">
        <f>'No MW-mi Allocations'!D54</f>
        <v>0</v>
      </c>
      <c r="E48" s="127">
        <f>'No MW-mi Allocations'!E54</f>
        <v>0</v>
      </c>
      <c r="F48" s="130">
        <f>'100% Zonal'!C54</f>
        <v>0</v>
      </c>
      <c r="H48" s="150">
        <f aca="true" t="shared" si="2" ref="H48:H62">SUM(B48:F48)</f>
        <v>0</v>
      </c>
    </row>
    <row r="49" spans="1:8" ht="12.75">
      <c r="A49" s="5" t="s">
        <v>6</v>
      </c>
      <c r="B49" s="130">
        <f>'MW-mi Allocations'!D55</f>
        <v>0</v>
      </c>
      <c r="C49" s="127">
        <f>'MW-mi Allocations'!E55</f>
        <v>0</v>
      </c>
      <c r="D49" s="130">
        <f>'No MW-mi Allocations'!D55</f>
        <v>0</v>
      </c>
      <c r="E49" s="127">
        <f>'No MW-mi Allocations'!E55</f>
        <v>0</v>
      </c>
      <c r="F49" s="130">
        <f>'100% Zonal'!C55</f>
        <v>0</v>
      </c>
      <c r="H49" s="150">
        <f t="shared" si="2"/>
        <v>0</v>
      </c>
    </row>
    <row r="50" spans="1:8" ht="12.75">
      <c r="A50" s="5" t="s">
        <v>7</v>
      </c>
      <c r="B50" s="130">
        <f>'MW-mi Allocations'!D56</f>
        <v>826719.9948730174</v>
      </c>
      <c r="C50" s="127">
        <f>'MW-mi Allocations'!E56</f>
        <v>876142.5724006719</v>
      </c>
      <c r="D50" s="130">
        <f>'No MW-mi Allocations'!D56</f>
        <v>258885.4453989007</v>
      </c>
      <c r="E50" s="127">
        <f>'No MW-mi Allocations'!E56</f>
        <v>211205.9425</v>
      </c>
      <c r="F50" s="130">
        <f>'100% Zonal'!C56</f>
        <v>35729.020284000006</v>
      </c>
      <c r="H50" s="150">
        <f t="shared" si="2"/>
        <v>2208682.97545659</v>
      </c>
    </row>
    <row r="51" spans="1:8" ht="12.75">
      <c r="A51" s="5" t="s">
        <v>8</v>
      </c>
      <c r="B51" s="130">
        <f>'MW-mi Allocations'!D57</f>
        <v>71942.79857761128</v>
      </c>
      <c r="C51" s="127">
        <f>'MW-mi Allocations'!E57</f>
        <v>208404.2474656496</v>
      </c>
      <c r="D51" s="130">
        <f>'No MW-mi Allocations'!D57</f>
        <v>22528.72020576815</v>
      </c>
      <c r="E51" s="127">
        <f>'No MW-mi Allocations'!E57</f>
        <v>0</v>
      </c>
      <c r="F51" s="130">
        <f>'100% Zonal'!C57</f>
        <v>0</v>
      </c>
      <c r="H51" s="150">
        <f t="shared" si="2"/>
        <v>302875.76624902897</v>
      </c>
    </row>
    <row r="52" spans="1:8" ht="12.75">
      <c r="A52" s="5" t="s">
        <v>9</v>
      </c>
      <c r="B52" s="130">
        <f>'MW-mi Allocations'!D58</f>
        <v>521465.29613927583</v>
      </c>
      <c r="C52" s="127">
        <f>'MW-mi Allocations'!E58</f>
        <v>1594889.532830425</v>
      </c>
      <c r="D52" s="130">
        <f>'No MW-mi Allocations'!D58</f>
        <v>163295.64579095703</v>
      </c>
      <c r="E52" s="127">
        <f>'No MW-mi Allocations'!E58</f>
        <v>17972.0532</v>
      </c>
      <c r="F52" s="130">
        <f>'100% Zonal'!C58</f>
        <v>0</v>
      </c>
      <c r="H52" s="150">
        <f t="shared" si="2"/>
        <v>2297622.5279606576</v>
      </c>
    </row>
    <row r="53" spans="1:8" ht="12.75">
      <c r="A53" s="5" t="s">
        <v>10</v>
      </c>
      <c r="B53" s="130">
        <f>'MW-mi Allocations'!D59</f>
        <v>116287.08102185425</v>
      </c>
      <c r="C53" s="127">
        <f>'MW-mi Allocations'!E59</f>
        <v>1018588.8106532182</v>
      </c>
      <c r="D53" s="130">
        <f>'No MW-mi Allocations'!D59</f>
        <v>36415.02921325238</v>
      </c>
      <c r="E53" s="127">
        <f>'No MW-mi Allocations'!E59</f>
        <v>91672.58250000002</v>
      </c>
      <c r="F53" s="130">
        <f>'100% Zonal'!C59</f>
        <v>0</v>
      </c>
      <c r="H53" s="150">
        <f t="shared" si="2"/>
        <v>1262963.503388325</v>
      </c>
    </row>
    <row r="54" spans="1:8" ht="12.75">
      <c r="A54" s="5" t="s">
        <v>11</v>
      </c>
      <c r="B54" s="130">
        <f>'MW-mi Allocations'!D60</f>
        <v>424626.05837017833</v>
      </c>
      <c r="C54" s="127">
        <f>'MW-mi Allocations'!E60</f>
        <v>110123.63815077695</v>
      </c>
      <c r="D54" s="130">
        <f>'No MW-mi Allocations'!D60</f>
        <v>132970.66350261454</v>
      </c>
      <c r="E54" s="127">
        <f>'No MW-mi Allocations'!E60</f>
        <v>1180672.7605</v>
      </c>
      <c r="F54" s="130">
        <f>'100% Zonal'!C60</f>
        <v>0</v>
      </c>
      <c r="H54" s="150">
        <f t="shared" si="2"/>
        <v>1848393.1205235699</v>
      </c>
    </row>
    <row r="55" spans="1:8" ht="12.75">
      <c r="A55" s="5" t="s">
        <v>12</v>
      </c>
      <c r="B55" s="130">
        <f>'MW-mi Allocations'!D61</f>
        <v>26460.79952626004</v>
      </c>
      <c r="C55" s="127">
        <f>'MW-mi Allocations'!E61</f>
        <v>0</v>
      </c>
      <c r="D55" s="130">
        <f>'No MW-mi Allocations'!D61</f>
        <v>8286.1378864062</v>
      </c>
      <c r="E55" s="127">
        <f>'No MW-mi Allocations'!E61</f>
        <v>52012.42696</v>
      </c>
      <c r="F55" s="130">
        <f>'100% Zonal'!C61</f>
        <v>0</v>
      </c>
      <c r="H55" s="150">
        <f t="shared" si="2"/>
        <v>86759.36437266624</v>
      </c>
    </row>
    <row r="56" spans="1:8" ht="12.75">
      <c r="A56" s="5" t="s">
        <v>13</v>
      </c>
      <c r="B56" s="130">
        <f>'MW-mi Allocations'!D62</f>
        <v>35864.73835688924</v>
      </c>
      <c r="C56" s="127">
        <f>'MW-mi Allocations'!E62</f>
        <v>0</v>
      </c>
      <c r="D56" s="130">
        <f>'No MW-mi Allocations'!D62</f>
        <v>11230.95947989554</v>
      </c>
      <c r="E56" s="127">
        <f>'No MW-mi Allocations'!E62</f>
        <v>0</v>
      </c>
      <c r="F56" s="130">
        <f>'100% Zonal'!C62</f>
        <v>0</v>
      </c>
      <c r="H56" s="150">
        <f t="shared" si="2"/>
        <v>47095.69783678478</v>
      </c>
    </row>
    <row r="57" spans="1:8" ht="12.75">
      <c r="A57" s="5" t="s">
        <v>14</v>
      </c>
      <c r="B57" s="130">
        <f>'MW-mi Allocations'!D63</f>
        <v>424910.4875219554</v>
      </c>
      <c r="C57" s="127">
        <f>'MW-mi Allocations'!E63</f>
        <v>497133.752189521</v>
      </c>
      <c r="D57" s="130">
        <f>'No MW-mi Allocations'!D63</f>
        <v>133059.73183058394</v>
      </c>
      <c r="E57" s="127">
        <f>'No MW-mi Allocations'!E63</f>
        <v>216533.12590000004</v>
      </c>
      <c r="F57" s="130">
        <f>'100% Zonal'!C63</f>
        <v>0</v>
      </c>
      <c r="H57" s="150">
        <f t="shared" si="2"/>
        <v>1271637.0974420605</v>
      </c>
    </row>
    <row r="58" spans="1:8" ht="12.75">
      <c r="A58" s="5" t="s">
        <v>15</v>
      </c>
      <c r="B58" s="130">
        <f>'MW-mi Allocations'!D64</f>
        <v>44655.37682899914</v>
      </c>
      <c r="C58" s="127">
        <f>'MW-mi Allocations'!E64</f>
        <v>37906.14178372897</v>
      </c>
      <c r="D58" s="130">
        <f>'No MW-mi Allocations'!D64</f>
        <v>13983.72749120079</v>
      </c>
      <c r="E58" s="127">
        <f>'No MW-mi Allocations'!E64</f>
        <v>0</v>
      </c>
      <c r="F58" s="130">
        <f>'100% Zonal'!C64</f>
        <v>0</v>
      </c>
      <c r="H58" s="150">
        <f t="shared" si="2"/>
        <v>96545.24610392889</v>
      </c>
    </row>
    <row r="59" spans="1:8" ht="12.75">
      <c r="A59" s="5" t="s">
        <v>16</v>
      </c>
      <c r="B59" s="130">
        <f>'MW-mi Allocations'!D65</f>
        <v>148871.99572231423</v>
      </c>
      <c r="C59" s="127">
        <f>'MW-mi Allocations'!E65</f>
        <v>72521.8102393583</v>
      </c>
      <c r="D59" s="130">
        <f>'No MW-mi Allocations'!D65</f>
        <v>46618.9195362504</v>
      </c>
      <c r="E59" s="127">
        <f>'No MW-mi Allocations'!E65</f>
        <v>188065.23560499997</v>
      </c>
      <c r="F59" s="130">
        <f>'100% Zonal'!C65</f>
        <v>0</v>
      </c>
      <c r="H59" s="150">
        <f t="shared" si="2"/>
        <v>456077.9611029229</v>
      </c>
    </row>
    <row r="60" spans="1:8" ht="12.75">
      <c r="A60" s="5" t="s">
        <v>17</v>
      </c>
      <c r="B60" s="130">
        <f>'MW-mi Allocations'!D66</f>
        <v>284144.72262528754</v>
      </c>
      <c r="C60" s="127">
        <f>'MW-mi Allocations'!E66</f>
        <v>149406.07462116366</v>
      </c>
      <c r="D60" s="130">
        <f>'No MW-mi Allocations'!D66</f>
        <v>88979.25964146235</v>
      </c>
      <c r="E60" s="127">
        <f>'No MW-mi Allocations'!E66</f>
        <v>0</v>
      </c>
      <c r="F60" s="130">
        <f>'100% Zonal'!C66</f>
        <v>0</v>
      </c>
      <c r="H60" s="150">
        <f t="shared" si="2"/>
        <v>522530.05688791355</v>
      </c>
    </row>
    <row r="61" spans="1:8" ht="12.75">
      <c r="A61" s="5" t="s">
        <v>18</v>
      </c>
      <c r="B61" s="130">
        <f>'MW-mi Allocations'!D67</f>
        <v>96919.23346803474</v>
      </c>
      <c r="C61" s="127">
        <f>'MW-mi Allocations'!E67</f>
        <v>1458505.7839697425</v>
      </c>
      <c r="D61" s="130">
        <f>'No MW-mi Allocations'!D67</f>
        <v>30350.032755583874</v>
      </c>
      <c r="E61" s="127">
        <f>'No MW-mi Allocations'!E67</f>
        <v>0</v>
      </c>
      <c r="F61" s="130">
        <f>'100% Zonal'!C67</f>
        <v>3660.66</v>
      </c>
      <c r="H61" s="150">
        <f t="shared" si="2"/>
        <v>1589435.710193361</v>
      </c>
    </row>
    <row r="62" spans="1:8" ht="12.75">
      <c r="A62" s="5" t="s">
        <v>19</v>
      </c>
      <c r="B62" s="130">
        <f>'MW-mi Allocations'!D68</f>
        <v>57001.379698322344</v>
      </c>
      <c r="C62" s="127">
        <f>'MW-mi Allocations'!E68</f>
        <v>229446.95396574424</v>
      </c>
      <c r="D62" s="130">
        <f>'No MW-mi Allocations'!D68</f>
        <v>17849.84960212394</v>
      </c>
      <c r="E62" s="127">
        <f>'No MW-mi Allocations'!E68</f>
        <v>0</v>
      </c>
      <c r="F62" s="130">
        <f>'100% Zonal'!C68</f>
        <v>0</v>
      </c>
      <c r="H62" s="150">
        <f t="shared" si="2"/>
        <v>304298.1832661905</v>
      </c>
    </row>
    <row r="63" spans="1:8" ht="12.75">
      <c r="A63" s="2" t="s">
        <v>20</v>
      </c>
      <c r="B63" s="140">
        <f>SUM(B48:B62)</f>
        <v>3079869.96273</v>
      </c>
      <c r="C63" s="141">
        <f>SUM(C48:C62)</f>
        <v>6253069.318269999</v>
      </c>
      <c r="D63" s="140">
        <f>SUM(D48:D62)</f>
        <v>964454.1223349998</v>
      </c>
      <c r="E63" s="141">
        <f>SUM(E48:E62)</f>
        <v>1958134.1271650004</v>
      </c>
      <c r="F63" s="140">
        <f>SUM(F48:F62)</f>
        <v>39389.680284</v>
      </c>
      <c r="H63" s="149">
        <f>SUM(B63:F63)</f>
        <v>12294917.210784</v>
      </c>
    </row>
  </sheetData>
  <mergeCells count="6">
    <mergeCell ref="B46:C46"/>
    <mergeCell ref="D46:E46"/>
    <mergeCell ref="B4:C4"/>
    <mergeCell ref="D4:E4"/>
    <mergeCell ref="B25:C25"/>
    <mergeCell ref="D25:E2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P69"/>
  <sheetViews>
    <sheetView workbookViewId="0" topLeftCell="A1">
      <selection activeCell="D56" activeCellId="1" sqref="B56:B69 D56:D69"/>
    </sheetView>
  </sheetViews>
  <sheetFormatPr defaultColWidth="9.140625" defaultRowHeight="12.75"/>
  <cols>
    <col min="1" max="1" width="17.7109375" style="0" customWidth="1"/>
    <col min="2" max="2" width="24.7109375" style="0" customWidth="1"/>
    <col min="4" max="4" width="11.28125" style="0" bestFit="1" customWidth="1"/>
  </cols>
  <sheetData>
    <row r="1" spans="1:15" ht="15.75">
      <c r="A1" s="95"/>
      <c r="B1" s="95" t="s">
        <v>364</v>
      </c>
      <c r="C1" s="96"/>
      <c r="D1" s="96"/>
      <c r="E1" s="96"/>
      <c r="F1" s="96"/>
      <c r="G1" s="96"/>
      <c r="H1" s="96"/>
      <c r="I1" s="96"/>
      <c r="J1" s="96"/>
      <c r="K1" s="96"/>
      <c r="L1" s="96"/>
      <c r="M1" s="96"/>
      <c r="N1" s="96"/>
      <c r="O1" s="97"/>
    </row>
    <row r="2" spans="1:15" ht="15.75">
      <c r="A2" s="98"/>
      <c r="B2" s="98"/>
      <c r="C2" s="98"/>
      <c r="D2" s="99"/>
      <c r="E2" s="99"/>
      <c r="F2" s="98"/>
      <c r="G2" s="99"/>
      <c r="H2" s="99"/>
      <c r="I2" s="100"/>
      <c r="J2" s="100"/>
      <c r="K2" s="100"/>
      <c r="L2" s="99"/>
      <c r="M2" s="99"/>
      <c r="N2" s="99"/>
      <c r="O2" s="101"/>
    </row>
    <row r="3" spans="1:15" ht="12.75">
      <c r="A3" s="102" t="s">
        <v>1</v>
      </c>
      <c r="B3" s="102" t="s">
        <v>365</v>
      </c>
      <c r="C3" s="103">
        <v>38353</v>
      </c>
      <c r="D3" s="103">
        <v>38384</v>
      </c>
      <c r="E3" s="103">
        <v>38412</v>
      </c>
      <c r="F3" s="103">
        <v>38443</v>
      </c>
      <c r="G3" s="103">
        <v>38473</v>
      </c>
      <c r="H3" s="103">
        <v>38504</v>
      </c>
      <c r="I3" s="103">
        <v>38534</v>
      </c>
      <c r="J3" s="103">
        <v>38565</v>
      </c>
      <c r="K3" s="103">
        <v>38596</v>
      </c>
      <c r="L3" s="103">
        <v>38626</v>
      </c>
      <c r="M3" s="103">
        <v>38657</v>
      </c>
      <c r="N3" s="103">
        <v>38687</v>
      </c>
      <c r="O3" s="104" t="s">
        <v>366</v>
      </c>
    </row>
    <row r="4" spans="1:15" ht="12.75">
      <c r="A4" s="105"/>
      <c r="B4" s="105"/>
      <c r="C4" s="106"/>
      <c r="D4" s="106"/>
      <c r="E4" s="106"/>
      <c r="F4" s="106"/>
      <c r="G4" s="106"/>
      <c r="H4" s="106"/>
      <c r="I4" s="106"/>
      <c r="J4" s="106"/>
      <c r="K4" s="106"/>
      <c r="L4" s="106"/>
      <c r="M4" s="106"/>
      <c r="N4" s="106"/>
      <c r="O4" s="107"/>
    </row>
    <row r="5" spans="1:15" ht="12.75">
      <c r="A5" s="108" t="s">
        <v>7</v>
      </c>
      <c r="B5" s="105" t="s">
        <v>367</v>
      </c>
      <c r="C5" s="106">
        <v>6063</v>
      </c>
      <c r="D5" s="106">
        <v>5694</v>
      </c>
      <c r="E5" s="106">
        <v>5351</v>
      </c>
      <c r="F5" s="106">
        <v>5417</v>
      </c>
      <c r="G5" s="106">
        <v>7291</v>
      </c>
      <c r="H5" s="106">
        <v>8391</v>
      </c>
      <c r="I5" s="106">
        <v>8631</v>
      </c>
      <c r="J5" s="106">
        <v>8594</v>
      </c>
      <c r="K5" s="106">
        <v>8429</v>
      </c>
      <c r="L5" s="106">
        <v>7167</v>
      </c>
      <c r="M5" s="106">
        <v>5652</v>
      </c>
      <c r="N5" s="106">
        <v>6733</v>
      </c>
      <c r="O5" s="107">
        <f aca="true" t="shared" si="0" ref="O5:O11">IF(SUM(C5:N5)=0,0,AVERAGE(C5:N5))</f>
        <v>6951.083333333333</v>
      </c>
    </row>
    <row r="6" spans="1:15" ht="12.75">
      <c r="A6" s="108" t="s">
        <v>7</v>
      </c>
      <c r="B6" s="105" t="s">
        <v>368</v>
      </c>
      <c r="C6" s="106">
        <v>73</v>
      </c>
      <c r="D6" s="106">
        <v>67</v>
      </c>
      <c r="E6" s="106">
        <v>54</v>
      </c>
      <c r="F6" s="106">
        <v>35</v>
      </c>
      <c r="G6" s="106">
        <v>55</v>
      </c>
      <c r="H6" s="106">
        <v>75</v>
      </c>
      <c r="I6" s="106">
        <v>70</v>
      </c>
      <c r="J6" s="106">
        <v>75</v>
      </c>
      <c r="K6" s="106">
        <v>74</v>
      </c>
      <c r="L6" s="106">
        <v>56</v>
      </c>
      <c r="M6" s="106">
        <v>63</v>
      </c>
      <c r="N6" s="106">
        <v>85</v>
      </c>
      <c r="O6" s="107">
        <f t="shared" si="0"/>
        <v>65.16666666666667</v>
      </c>
    </row>
    <row r="7" spans="1:15" ht="12.75">
      <c r="A7" s="108" t="s">
        <v>7</v>
      </c>
      <c r="B7" s="105" t="s">
        <v>369</v>
      </c>
      <c r="C7" s="106">
        <v>606</v>
      </c>
      <c r="D7" s="106">
        <v>566</v>
      </c>
      <c r="E7" s="106">
        <v>486</v>
      </c>
      <c r="F7" s="106">
        <v>405</v>
      </c>
      <c r="G7" s="106">
        <v>502</v>
      </c>
      <c r="H7" s="106">
        <v>623</v>
      </c>
      <c r="I7" s="106">
        <v>603</v>
      </c>
      <c r="J7" s="106">
        <v>619</v>
      </c>
      <c r="K7" s="106">
        <v>484</v>
      </c>
      <c r="L7" s="106">
        <v>478</v>
      </c>
      <c r="M7" s="106">
        <v>534</v>
      </c>
      <c r="N7" s="106">
        <v>682</v>
      </c>
      <c r="O7" s="107">
        <f t="shared" si="0"/>
        <v>549</v>
      </c>
    </row>
    <row r="8" spans="1:15" ht="12.75">
      <c r="A8" s="108" t="s">
        <v>7</v>
      </c>
      <c r="B8" s="105" t="s">
        <v>370</v>
      </c>
      <c r="C8" s="106">
        <v>55</v>
      </c>
      <c r="D8" s="106">
        <v>45</v>
      </c>
      <c r="E8" s="106">
        <v>42</v>
      </c>
      <c r="F8" s="106">
        <v>56</v>
      </c>
      <c r="G8" s="106">
        <v>76</v>
      </c>
      <c r="H8" s="106">
        <v>99</v>
      </c>
      <c r="I8" s="106">
        <v>78</v>
      </c>
      <c r="J8" s="106">
        <v>89</v>
      </c>
      <c r="K8" s="106">
        <v>102</v>
      </c>
      <c r="L8" s="106">
        <v>91</v>
      </c>
      <c r="M8" s="106">
        <v>78</v>
      </c>
      <c r="N8" s="106">
        <v>97</v>
      </c>
      <c r="O8" s="107">
        <f t="shared" si="0"/>
        <v>75.66666666666667</v>
      </c>
    </row>
    <row r="9" spans="1:15" ht="12.75">
      <c r="A9" s="108" t="s">
        <v>7</v>
      </c>
      <c r="B9" s="105" t="s">
        <v>371</v>
      </c>
      <c r="C9" s="106">
        <v>72</v>
      </c>
      <c r="D9" s="106">
        <v>69</v>
      </c>
      <c r="E9" s="106">
        <v>63</v>
      </c>
      <c r="F9" s="106">
        <v>79</v>
      </c>
      <c r="G9" s="106">
        <v>124</v>
      </c>
      <c r="H9" s="106">
        <v>146</v>
      </c>
      <c r="I9" s="106">
        <v>148</v>
      </c>
      <c r="J9" s="106">
        <v>148</v>
      </c>
      <c r="K9" s="106">
        <v>135</v>
      </c>
      <c r="L9" s="106">
        <v>114</v>
      </c>
      <c r="M9" s="106">
        <v>71</v>
      </c>
      <c r="N9" s="106">
        <v>86</v>
      </c>
      <c r="O9" s="107">
        <f t="shared" si="0"/>
        <v>104.58333333333333</v>
      </c>
    </row>
    <row r="10" spans="1:15" ht="13.5" thickBot="1">
      <c r="A10" s="108" t="s">
        <v>7</v>
      </c>
      <c r="B10" s="105" t="s">
        <v>372</v>
      </c>
      <c r="C10" s="109">
        <v>5</v>
      </c>
      <c r="D10" s="109">
        <v>6</v>
      </c>
      <c r="E10" s="109">
        <v>5</v>
      </c>
      <c r="F10" s="109">
        <v>3</v>
      </c>
      <c r="G10" s="109">
        <v>5</v>
      </c>
      <c r="H10" s="109">
        <v>5</v>
      </c>
      <c r="I10" s="109">
        <v>9</v>
      </c>
      <c r="J10" s="109">
        <v>6</v>
      </c>
      <c r="K10" s="109">
        <v>7</v>
      </c>
      <c r="L10" s="109">
        <v>4</v>
      </c>
      <c r="M10" s="109">
        <v>4</v>
      </c>
      <c r="N10" s="109">
        <v>6</v>
      </c>
      <c r="O10" s="110">
        <f t="shared" si="0"/>
        <v>5.416666666666667</v>
      </c>
    </row>
    <row r="11" spans="1:16" ht="12.75">
      <c r="A11" s="108" t="s">
        <v>373</v>
      </c>
      <c r="B11" s="105"/>
      <c r="C11" s="106">
        <f aca="true" t="shared" si="1" ref="C11:N11">SUM(C5:C10)</f>
        <v>6874</v>
      </c>
      <c r="D11" s="106">
        <f t="shared" si="1"/>
        <v>6447</v>
      </c>
      <c r="E11" s="106">
        <f t="shared" si="1"/>
        <v>6001</v>
      </c>
      <c r="F11" s="106">
        <f t="shared" si="1"/>
        <v>5995</v>
      </c>
      <c r="G11" s="106">
        <f t="shared" si="1"/>
        <v>8053</v>
      </c>
      <c r="H11" s="106">
        <f t="shared" si="1"/>
        <v>9339</v>
      </c>
      <c r="I11" s="106">
        <f t="shared" si="1"/>
        <v>9539</v>
      </c>
      <c r="J11" s="106">
        <f t="shared" si="1"/>
        <v>9531</v>
      </c>
      <c r="K11" s="106">
        <f t="shared" si="1"/>
        <v>9231</v>
      </c>
      <c r="L11" s="106">
        <f t="shared" si="1"/>
        <v>7910</v>
      </c>
      <c r="M11" s="106">
        <f t="shared" si="1"/>
        <v>6402</v>
      </c>
      <c r="N11" s="106">
        <f t="shared" si="1"/>
        <v>7689</v>
      </c>
      <c r="O11" s="107">
        <f t="shared" si="0"/>
        <v>7750.916666666667</v>
      </c>
      <c r="P11" s="111">
        <f>+O11/$O$50</f>
        <v>0.26842691570660077</v>
      </c>
    </row>
    <row r="12" spans="1:15" ht="12.75">
      <c r="A12" s="105"/>
      <c r="B12" s="105"/>
      <c r="C12" s="106"/>
      <c r="D12" s="106"/>
      <c r="E12" s="106"/>
      <c r="F12" s="106"/>
      <c r="G12" s="106"/>
      <c r="H12" s="106"/>
      <c r="I12" s="106"/>
      <c r="J12" s="106"/>
      <c r="K12" s="106"/>
      <c r="L12" s="106"/>
      <c r="M12" s="106"/>
      <c r="N12" s="106"/>
      <c r="O12" s="107"/>
    </row>
    <row r="13" spans="1:16" ht="12.75">
      <c r="A13" s="112" t="s">
        <v>374</v>
      </c>
      <c r="B13" s="113" t="s">
        <v>375</v>
      </c>
      <c r="C13" s="106">
        <v>1289</v>
      </c>
      <c r="D13" s="106">
        <v>1192</v>
      </c>
      <c r="E13" s="106">
        <v>1087</v>
      </c>
      <c r="F13" s="106">
        <v>961</v>
      </c>
      <c r="G13" s="106">
        <v>1306</v>
      </c>
      <c r="H13" s="106">
        <v>1704</v>
      </c>
      <c r="I13" s="106">
        <v>1826</v>
      </c>
      <c r="J13" s="106">
        <v>1800</v>
      </c>
      <c r="K13" s="106">
        <v>1549</v>
      </c>
      <c r="L13" s="106">
        <v>1403</v>
      </c>
      <c r="M13" s="106">
        <v>1210</v>
      </c>
      <c r="N13" s="106">
        <v>1422</v>
      </c>
      <c r="O13" s="107">
        <f>IF(SUM(C13:N13)=0,0,AVERAGE(C13:N13))</f>
        <v>1395.75</v>
      </c>
      <c r="P13" s="111">
        <f>+O13/$O$50</f>
        <v>0.0483371043335719</v>
      </c>
    </row>
    <row r="14" spans="1:15" ht="12.75">
      <c r="A14" s="105"/>
      <c r="B14" s="105"/>
      <c r="C14" s="107"/>
      <c r="D14" s="107"/>
      <c r="E14" s="107"/>
      <c r="F14" s="107"/>
      <c r="G14" s="107"/>
      <c r="H14" s="107"/>
      <c r="I14" s="107"/>
      <c r="J14" s="107"/>
      <c r="K14" s="107"/>
      <c r="L14" s="107"/>
      <c r="M14" s="107"/>
      <c r="N14" s="107"/>
      <c r="O14" s="107"/>
    </row>
    <row r="15" spans="1:16" ht="12.75">
      <c r="A15" s="108" t="s">
        <v>376</v>
      </c>
      <c r="B15" s="105" t="s">
        <v>376</v>
      </c>
      <c r="C15" s="106">
        <v>398</v>
      </c>
      <c r="D15" s="106">
        <v>377</v>
      </c>
      <c r="E15" s="106">
        <v>361</v>
      </c>
      <c r="F15" s="106">
        <v>364</v>
      </c>
      <c r="G15" s="106">
        <v>492</v>
      </c>
      <c r="H15" s="106">
        <v>467</v>
      </c>
      <c r="I15" s="106">
        <v>487</v>
      </c>
      <c r="J15" s="106">
        <v>476</v>
      </c>
      <c r="K15" s="106">
        <v>448</v>
      </c>
      <c r="L15" s="106">
        <v>460</v>
      </c>
      <c r="M15" s="106">
        <v>338</v>
      </c>
      <c r="N15" s="106">
        <v>356</v>
      </c>
      <c r="O15" s="107">
        <f>IF(SUM(C15:N15)=0,0,AVERAGE(C15:N15))</f>
        <v>418.6666666666667</v>
      </c>
      <c r="P15" s="111">
        <f>+O15/$O$50</f>
        <v>0.014499111121372334</v>
      </c>
    </row>
    <row r="16" spans="1:15" ht="12.75">
      <c r="A16" s="105"/>
      <c r="B16" s="105"/>
      <c r="C16" s="106"/>
      <c r="D16" s="106"/>
      <c r="E16" s="106"/>
      <c r="F16" s="106"/>
      <c r="G16" s="106"/>
      <c r="H16" s="106"/>
      <c r="I16" s="106"/>
      <c r="J16" s="106"/>
      <c r="K16" s="106"/>
      <c r="L16" s="106"/>
      <c r="M16" s="106"/>
      <c r="N16" s="106"/>
      <c r="O16" s="107"/>
    </row>
    <row r="17" spans="1:15" ht="12.75">
      <c r="A17" s="108" t="s">
        <v>377</v>
      </c>
      <c r="B17" s="105" t="s">
        <v>377</v>
      </c>
      <c r="C17" s="106">
        <v>900</v>
      </c>
      <c r="D17" s="106">
        <v>820</v>
      </c>
      <c r="E17" s="106">
        <v>818</v>
      </c>
      <c r="F17" s="106">
        <v>622</v>
      </c>
      <c r="G17" s="106">
        <v>820</v>
      </c>
      <c r="H17" s="106">
        <v>1033</v>
      </c>
      <c r="I17" s="106">
        <v>1087</v>
      </c>
      <c r="J17" s="106">
        <v>1050</v>
      </c>
      <c r="K17" s="106">
        <v>991</v>
      </c>
      <c r="L17" s="106">
        <v>854</v>
      </c>
      <c r="M17" s="106">
        <v>837</v>
      </c>
      <c r="N17" s="106">
        <v>1031</v>
      </c>
      <c r="O17" s="107">
        <f>IF(SUM(C17:N17)=0,0,AVERAGE(C17:N17))</f>
        <v>905.25</v>
      </c>
    </row>
    <row r="18" spans="1:15" ht="13.5" thickBot="1">
      <c r="A18" s="108" t="s">
        <v>377</v>
      </c>
      <c r="B18" s="105" t="s">
        <v>378</v>
      </c>
      <c r="C18" s="109">
        <v>3</v>
      </c>
      <c r="D18" s="109">
        <v>3</v>
      </c>
      <c r="E18" s="109">
        <v>3</v>
      </c>
      <c r="F18" s="109">
        <v>2</v>
      </c>
      <c r="G18" s="109">
        <v>3</v>
      </c>
      <c r="H18" s="109">
        <v>4</v>
      </c>
      <c r="I18" s="109">
        <v>5</v>
      </c>
      <c r="J18" s="109">
        <v>4</v>
      </c>
      <c r="K18" s="109">
        <v>4</v>
      </c>
      <c r="L18" s="109">
        <v>3</v>
      </c>
      <c r="M18" s="109">
        <v>3</v>
      </c>
      <c r="N18" s="109">
        <v>4</v>
      </c>
      <c r="O18" s="110">
        <f>IF(SUM(C18:N18)=0,0,AVERAGE(C18:N18))</f>
        <v>3.4166666666666665</v>
      </c>
    </row>
    <row r="19" spans="1:16" ht="12.75">
      <c r="A19" s="108" t="s">
        <v>379</v>
      </c>
      <c r="B19" s="105"/>
      <c r="C19" s="106">
        <f aca="true" t="shared" si="2" ref="C19:N19">SUM(C17:C18)</f>
        <v>903</v>
      </c>
      <c r="D19" s="106">
        <f t="shared" si="2"/>
        <v>823</v>
      </c>
      <c r="E19" s="106">
        <f t="shared" si="2"/>
        <v>821</v>
      </c>
      <c r="F19" s="106">
        <f t="shared" si="2"/>
        <v>624</v>
      </c>
      <c r="G19" s="106">
        <f t="shared" si="2"/>
        <v>823</v>
      </c>
      <c r="H19" s="106">
        <f t="shared" si="2"/>
        <v>1037</v>
      </c>
      <c r="I19" s="106">
        <f t="shared" si="2"/>
        <v>1092</v>
      </c>
      <c r="J19" s="106">
        <f t="shared" si="2"/>
        <v>1054</v>
      </c>
      <c r="K19" s="106">
        <f t="shared" si="2"/>
        <v>995</v>
      </c>
      <c r="L19" s="106">
        <f t="shared" si="2"/>
        <v>857</v>
      </c>
      <c r="M19" s="106">
        <f t="shared" si="2"/>
        <v>840</v>
      </c>
      <c r="N19" s="106">
        <f t="shared" si="2"/>
        <v>1035</v>
      </c>
      <c r="O19" s="107">
        <f>IF(SUM(C19:N19)=0,0,AVERAGE(C19:N19))</f>
        <v>908.6666666666666</v>
      </c>
      <c r="P19" s="111">
        <f>+O19/$O$50</f>
        <v>0.031468612194953005</v>
      </c>
    </row>
    <row r="20" spans="1:15" ht="12.75">
      <c r="A20" s="105"/>
      <c r="B20" s="105"/>
      <c r="C20" s="106"/>
      <c r="D20" s="106"/>
      <c r="E20" s="106"/>
      <c r="F20" s="106"/>
      <c r="G20" s="106"/>
      <c r="H20" s="106"/>
      <c r="I20" s="106"/>
      <c r="J20" s="106"/>
      <c r="K20" s="106"/>
      <c r="L20" s="106"/>
      <c r="M20" s="106"/>
      <c r="N20" s="106"/>
      <c r="O20" s="107"/>
    </row>
    <row r="21" spans="1:16" ht="12.75">
      <c r="A21" s="114" t="s">
        <v>8</v>
      </c>
      <c r="B21" s="98" t="s">
        <v>380</v>
      </c>
      <c r="C21" s="106">
        <v>582</v>
      </c>
      <c r="D21" s="106">
        <v>559</v>
      </c>
      <c r="E21" s="106">
        <v>537</v>
      </c>
      <c r="F21" s="106">
        <v>529</v>
      </c>
      <c r="G21" s="106">
        <v>669</v>
      </c>
      <c r="H21" s="106">
        <v>844</v>
      </c>
      <c r="I21" s="106">
        <v>910</v>
      </c>
      <c r="J21" s="106">
        <v>867</v>
      </c>
      <c r="K21" s="106">
        <v>823</v>
      </c>
      <c r="L21" s="106">
        <v>555</v>
      </c>
      <c r="M21" s="106">
        <v>567</v>
      </c>
      <c r="N21" s="106">
        <v>652</v>
      </c>
      <c r="O21" s="107">
        <f>IF(SUM(C21:N21)=0,0,AVERAGE(C21:N21))</f>
        <v>674.5</v>
      </c>
      <c r="P21" s="111">
        <f>+O21/$O$50</f>
        <v>0.023359037702306462</v>
      </c>
    </row>
    <row r="22" spans="1:15" ht="12.75">
      <c r="A22" s="98"/>
      <c r="B22" s="98"/>
      <c r="C22" s="106"/>
      <c r="D22" s="106"/>
      <c r="E22" s="106"/>
      <c r="F22" s="106"/>
      <c r="G22" s="106"/>
      <c r="H22" s="106"/>
      <c r="I22" s="106"/>
      <c r="J22" s="106"/>
      <c r="K22" s="106"/>
      <c r="L22" s="106"/>
      <c r="M22" s="106"/>
      <c r="N22" s="106"/>
      <c r="O22" s="107"/>
    </row>
    <row r="23" spans="1:16" ht="12.75">
      <c r="A23" s="108" t="s">
        <v>258</v>
      </c>
      <c r="B23" s="105" t="s">
        <v>17</v>
      </c>
      <c r="C23" s="106">
        <v>2313</v>
      </c>
      <c r="D23" s="106">
        <v>2186</v>
      </c>
      <c r="E23" s="106">
        <v>2003</v>
      </c>
      <c r="F23" s="106">
        <v>2042</v>
      </c>
      <c r="G23" s="106">
        <v>2615</v>
      </c>
      <c r="H23" s="106">
        <v>3338</v>
      </c>
      <c r="I23" s="106">
        <v>3512</v>
      </c>
      <c r="J23" s="106">
        <v>3426</v>
      </c>
      <c r="K23" s="106">
        <v>3007</v>
      </c>
      <c r="L23" s="106">
        <v>2754</v>
      </c>
      <c r="M23" s="106">
        <v>2209</v>
      </c>
      <c r="N23" s="106">
        <v>2563</v>
      </c>
      <c r="O23" s="107">
        <f>IF(SUM(C23:N23)=0,0,AVERAGE(C23:N23))</f>
        <v>2664</v>
      </c>
      <c r="P23" s="111">
        <f>+O23/$O$50</f>
        <v>0.09225867522452841</v>
      </c>
    </row>
    <row r="24" spans="1:15" ht="12.75">
      <c r="A24" s="115"/>
      <c r="B24" s="115"/>
      <c r="C24" s="106"/>
      <c r="D24" s="106"/>
      <c r="E24" s="106"/>
      <c r="F24" s="106"/>
      <c r="G24" s="106"/>
      <c r="H24" s="106"/>
      <c r="I24" s="106"/>
      <c r="J24" s="106"/>
      <c r="K24" s="106"/>
      <c r="L24" s="106"/>
      <c r="M24" s="106"/>
      <c r="N24" s="106"/>
      <c r="O24" s="107"/>
    </row>
    <row r="25" spans="1:15" ht="12.75">
      <c r="A25" s="108" t="s">
        <v>12</v>
      </c>
      <c r="B25" s="105" t="s">
        <v>12</v>
      </c>
      <c r="C25" s="106">
        <v>200</v>
      </c>
      <c r="D25" s="106">
        <v>185</v>
      </c>
      <c r="E25" s="106">
        <v>176</v>
      </c>
      <c r="F25" s="106">
        <v>177</v>
      </c>
      <c r="G25" s="106">
        <v>261</v>
      </c>
      <c r="H25" s="106">
        <v>303</v>
      </c>
      <c r="I25" s="106">
        <v>320</v>
      </c>
      <c r="J25" s="106">
        <v>322</v>
      </c>
      <c r="K25" s="106">
        <v>271</v>
      </c>
      <c r="L25" s="106">
        <v>247</v>
      </c>
      <c r="M25" s="106">
        <v>191</v>
      </c>
      <c r="N25" s="106">
        <v>217</v>
      </c>
      <c r="O25" s="107">
        <f>IF(SUM(C25:N25)=0,0,AVERAGE(C25:N25))</f>
        <v>239.16666666666666</v>
      </c>
    </row>
    <row r="26" spans="1:15" ht="13.5" thickBot="1">
      <c r="A26" s="105"/>
      <c r="B26" s="105" t="s">
        <v>381</v>
      </c>
      <c r="C26" s="109">
        <v>6</v>
      </c>
      <c r="D26" s="109">
        <v>6</v>
      </c>
      <c r="E26" s="109">
        <v>5</v>
      </c>
      <c r="F26" s="109">
        <v>5</v>
      </c>
      <c r="G26" s="109">
        <v>9</v>
      </c>
      <c r="H26" s="109">
        <v>13</v>
      </c>
      <c r="I26" s="109">
        <v>16</v>
      </c>
      <c r="J26" s="109">
        <v>14</v>
      </c>
      <c r="K26" s="109">
        <v>9</v>
      </c>
      <c r="L26" s="109">
        <v>8</v>
      </c>
      <c r="M26" s="109">
        <v>7</v>
      </c>
      <c r="N26" s="109">
        <v>9</v>
      </c>
      <c r="O26" s="110">
        <f>IF(SUM(C26:N26)=0,0,AVERAGE(C26:N26))</f>
        <v>8.916666666666666</v>
      </c>
    </row>
    <row r="27" spans="1:16" ht="12.75">
      <c r="A27" s="108" t="s">
        <v>382</v>
      </c>
      <c r="B27" s="105"/>
      <c r="C27" s="106">
        <f aca="true" t="shared" si="3" ref="C27:N27">SUM(C25:C26)</f>
        <v>206</v>
      </c>
      <c r="D27" s="106">
        <f t="shared" si="3"/>
        <v>191</v>
      </c>
      <c r="E27" s="106">
        <f t="shared" si="3"/>
        <v>181</v>
      </c>
      <c r="F27" s="106">
        <f t="shared" si="3"/>
        <v>182</v>
      </c>
      <c r="G27" s="106">
        <f t="shared" si="3"/>
        <v>270</v>
      </c>
      <c r="H27" s="106">
        <f t="shared" si="3"/>
        <v>316</v>
      </c>
      <c r="I27" s="106">
        <f t="shared" si="3"/>
        <v>336</v>
      </c>
      <c r="J27" s="106">
        <f t="shared" si="3"/>
        <v>336</v>
      </c>
      <c r="K27" s="106">
        <f t="shared" si="3"/>
        <v>280</v>
      </c>
      <c r="L27" s="106">
        <f t="shared" si="3"/>
        <v>255</v>
      </c>
      <c r="M27" s="106">
        <f t="shared" si="3"/>
        <v>198</v>
      </c>
      <c r="N27" s="106">
        <f t="shared" si="3"/>
        <v>226</v>
      </c>
      <c r="O27" s="107">
        <f>IF(SUM(C27:N27)=0,0,AVERAGE(C27:N27))</f>
        <v>248.08333333333334</v>
      </c>
      <c r="P27" s="111">
        <f>+O27/$O$50</f>
        <v>0.008591531410892802</v>
      </c>
    </row>
    <row r="28" spans="1:15" ht="12.75">
      <c r="A28" s="105"/>
      <c r="B28" s="105"/>
      <c r="C28" s="106"/>
      <c r="D28" s="106"/>
      <c r="E28" s="106"/>
      <c r="F28" s="106"/>
      <c r="G28" s="106"/>
      <c r="H28" s="106"/>
      <c r="I28" s="106"/>
      <c r="J28" s="106"/>
      <c r="K28" s="106"/>
      <c r="L28" s="106"/>
      <c r="M28" s="106"/>
      <c r="N28" s="106"/>
      <c r="O28" s="107"/>
    </row>
    <row r="29" spans="1:15" ht="12.75">
      <c r="A29" s="108" t="s">
        <v>9</v>
      </c>
      <c r="B29" s="105" t="s">
        <v>9</v>
      </c>
      <c r="C29" s="106">
        <v>3970</v>
      </c>
      <c r="D29" s="106">
        <v>3682</v>
      </c>
      <c r="E29" s="106">
        <v>3389</v>
      </c>
      <c r="F29" s="106">
        <v>3502</v>
      </c>
      <c r="G29" s="106">
        <v>4941</v>
      </c>
      <c r="H29" s="106">
        <v>5445</v>
      </c>
      <c r="I29" s="106">
        <v>5725</v>
      </c>
      <c r="J29" s="106">
        <v>5584</v>
      </c>
      <c r="K29" s="106">
        <v>5378</v>
      </c>
      <c r="L29" s="106">
        <v>4572</v>
      </c>
      <c r="M29" s="106">
        <v>3609</v>
      </c>
      <c r="N29" s="106">
        <v>4345</v>
      </c>
      <c r="O29" s="107">
        <f>IF(SUM(C29:N29)=0,0,AVERAGE(C29:N29))</f>
        <v>4511.833333333333</v>
      </c>
    </row>
    <row r="30" spans="1:15" ht="12.75">
      <c r="A30" s="108" t="s">
        <v>9</v>
      </c>
      <c r="B30" s="105" t="s">
        <v>383</v>
      </c>
      <c r="C30" s="106">
        <v>221</v>
      </c>
      <c r="D30" s="106">
        <v>191</v>
      </c>
      <c r="E30" s="106">
        <v>175</v>
      </c>
      <c r="F30" s="106">
        <v>225</v>
      </c>
      <c r="G30" s="106">
        <v>353</v>
      </c>
      <c r="H30" s="106">
        <v>387</v>
      </c>
      <c r="I30" s="106">
        <v>420</v>
      </c>
      <c r="J30" s="106">
        <v>406</v>
      </c>
      <c r="K30" s="106">
        <v>379</v>
      </c>
      <c r="L30" s="106">
        <v>313</v>
      </c>
      <c r="M30" s="106">
        <v>217</v>
      </c>
      <c r="N30" s="106">
        <v>262</v>
      </c>
      <c r="O30" s="107">
        <f>IF(SUM(C30:N30)=0,0,AVERAGE(C30:N30))</f>
        <v>295.75</v>
      </c>
    </row>
    <row r="31" spans="1:15" ht="13.5" thickBot="1">
      <c r="A31" s="108" t="s">
        <v>9</v>
      </c>
      <c r="B31" s="98" t="s">
        <v>384</v>
      </c>
      <c r="C31" s="109">
        <v>84</v>
      </c>
      <c r="D31" s="109">
        <v>73</v>
      </c>
      <c r="E31" s="109">
        <v>57</v>
      </c>
      <c r="F31" s="109">
        <v>50</v>
      </c>
      <c r="G31" s="109">
        <v>82</v>
      </c>
      <c r="H31" s="109">
        <v>95</v>
      </c>
      <c r="I31" s="109">
        <v>96</v>
      </c>
      <c r="J31" s="109">
        <v>103</v>
      </c>
      <c r="K31" s="109">
        <v>92</v>
      </c>
      <c r="L31" s="109">
        <v>78</v>
      </c>
      <c r="M31" s="109">
        <v>73</v>
      </c>
      <c r="N31" s="109">
        <v>94</v>
      </c>
      <c r="O31" s="110">
        <f>IF(SUM(C31:N31)=0,0,AVERAGE(C31:N31))</f>
        <v>81.41666666666667</v>
      </c>
    </row>
    <row r="32" spans="1:16" ht="12.75">
      <c r="A32" s="108" t="s">
        <v>385</v>
      </c>
      <c r="B32" s="105" t="s">
        <v>386</v>
      </c>
      <c r="C32" s="106">
        <f aca="true" t="shared" si="4" ref="C32:N32">SUM(C29:C31)</f>
        <v>4275</v>
      </c>
      <c r="D32" s="106">
        <f t="shared" si="4"/>
        <v>3946</v>
      </c>
      <c r="E32" s="106">
        <f t="shared" si="4"/>
        <v>3621</v>
      </c>
      <c r="F32" s="106">
        <f t="shared" si="4"/>
        <v>3777</v>
      </c>
      <c r="G32" s="106">
        <f t="shared" si="4"/>
        <v>5376</v>
      </c>
      <c r="H32" s="106">
        <f t="shared" si="4"/>
        <v>5927</v>
      </c>
      <c r="I32" s="106">
        <f t="shared" si="4"/>
        <v>6241</v>
      </c>
      <c r="J32" s="106">
        <f t="shared" si="4"/>
        <v>6093</v>
      </c>
      <c r="K32" s="106">
        <f t="shared" si="4"/>
        <v>5849</v>
      </c>
      <c r="L32" s="106">
        <f t="shared" si="4"/>
        <v>4963</v>
      </c>
      <c r="M32" s="106">
        <f t="shared" si="4"/>
        <v>3899</v>
      </c>
      <c r="N32" s="106">
        <f t="shared" si="4"/>
        <v>4701</v>
      </c>
      <c r="O32" s="107">
        <f>IF(SUM(C32:N32)=0,0,AVERAGE(C32:N32))</f>
        <v>4889</v>
      </c>
      <c r="P32" s="111">
        <f>+O32/$O$50</f>
        <v>0.1693140627525223</v>
      </c>
    </row>
    <row r="33" spans="1:15" ht="12.75">
      <c r="A33" s="105"/>
      <c r="B33" s="105"/>
      <c r="C33" s="106"/>
      <c r="D33" s="106"/>
      <c r="E33" s="106"/>
      <c r="F33" s="106"/>
      <c r="G33" s="106"/>
      <c r="H33" s="106"/>
      <c r="I33" s="106"/>
      <c r="J33" s="106"/>
      <c r="K33" s="106"/>
      <c r="L33" s="106"/>
      <c r="M33" s="106"/>
      <c r="N33" s="106"/>
      <c r="O33" s="107"/>
    </row>
    <row r="34" spans="1:16" ht="12.75">
      <c r="A34" s="108" t="s">
        <v>19</v>
      </c>
      <c r="B34" s="105" t="s">
        <v>19</v>
      </c>
      <c r="C34" s="106">
        <v>438</v>
      </c>
      <c r="D34" s="106">
        <v>417</v>
      </c>
      <c r="E34" s="106">
        <v>403</v>
      </c>
      <c r="F34" s="106">
        <v>425</v>
      </c>
      <c r="G34" s="106">
        <v>539</v>
      </c>
      <c r="H34" s="106">
        <v>686</v>
      </c>
      <c r="I34" s="106">
        <v>720</v>
      </c>
      <c r="J34" s="106">
        <v>688</v>
      </c>
      <c r="K34" s="106">
        <v>642</v>
      </c>
      <c r="L34" s="106">
        <v>551</v>
      </c>
      <c r="M34" s="106">
        <v>429</v>
      </c>
      <c r="N34" s="106">
        <v>475</v>
      </c>
      <c r="O34" s="107">
        <f>IF(SUM(C34:N34)=0,0,AVERAGE(C34:N34))</f>
        <v>534.4166666666666</v>
      </c>
      <c r="P34" s="111">
        <f>+O34/$O$50</f>
        <v>0.018507722854570217</v>
      </c>
    </row>
    <row r="35" spans="1:15" ht="12.75">
      <c r="A35" s="105"/>
      <c r="B35" s="105"/>
      <c r="C35" s="106"/>
      <c r="D35" s="106"/>
      <c r="E35" s="106"/>
      <c r="F35" s="106"/>
      <c r="G35" s="106"/>
      <c r="H35" s="106"/>
      <c r="I35" s="106"/>
      <c r="J35" s="106"/>
      <c r="K35" s="106"/>
      <c r="L35" s="106"/>
      <c r="M35" s="106"/>
      <c r="N35" s="106"/>
      <c r="O35" s="107"/>
    </row>
    <row r="36" spans="1:16" ht="12.75">
      <c r="A36" s="108" t="s">
        <v>114</v>
      </c>
      <c r="B36" s="105" t="s">
        <v>114</v>
      </c>
      <c r="C36" s="106">
        <v>3411</v>
      </c>
      <c r="D36" s="106">
        <v>3372</v>
      </c>
      <c r="E36" s="106">
        <v>3264</v>
      </c>
      <c r="F36" s="106">
        <v>3494</v>
      </c>
      <c r="G36" s="106">
        <v>4397</v>
      </c>
      <c r="H36" s="106">
        <v>4798</v>
      </c>
      <c r="I36" s="106">
        <v>4978</v>
      </c>
      <c r="J36" s="106">
        <v>4870</v>
      </c>
      <c r="K36" s="106">
        <v>4162</v>
      </c>
      <c r="L36" s="106">
        <v>3771</v>
      </c>
      <c r="M36" s="106">
        <v>3418</v>
      </c>
      <c r="N36" s="106">
        <v>3838</v>
      </c>
      <c r="O36" s="107">
        <f>IF(SUM(C36:N36)=0,0,AVERAGE(C36:N36))</f>
        <v>3981.0833333333335</v>
      </c>
      <c r="P36" s="111">
        <f>+O36/$O$50</f>
        <v>0.13787142428370233</v>
      </c>
    </row>
    <row r="37" spans="1:15" ht="12.75">
      <c r="A37" s="105"/>
      <c r="B37" s="105"/>
      <c r="C37" s="106"/>
      <c r="D37" s="106"/>
      <c r="E37" s="106"/>
      <c r="F37" s="106"/>
      <c r="G37" s="106"/>
      <c r="H37" s="106"/>
      <c r="I37" s="106"/>
      <c r="J37" s="106"/>
      <c r="K37" s="106"/>
      <c r="L37" s="106"/>
      <c r="M37" s="106"/>
      <c r="N37" s="106"/>
      <c r="O37" s="107"/>
    </row>
    <row r="38" spans="1:16" ht="12.75">
      <c r="A38" s="108" t="s">
        <v>13</v>
      </c>
      <c r="B38" s="105" t="s">
        <v>13</v>
      </c>
      <c r="C38" s="106">
        <v>304</v>
      </c>
      <c r="D38" s="106">
        <v>283</v>
      </c>
      <c r="E38" s="106">
        <v>281</v>
      </c>
      <c r="F38" s="106">
        <v>276</v>
      </c>
      <c r="G38" s="106">
        <v>363</v>
      </c>
      <c r="H38" s="106">
        <v>399</v>
      </c>
      <c r="I38" s="106">
        <v>420</v>
      </c>
      <c r="J38" s="106">
        <v>412</v>
      </c>
      <c r="K38" s="106">
        <v>363</v>
      </c>
      <c r="L38" s="106">
        <v>346</v>
      </c>
      <c r="M38" s="106">
        <v>287</v>
      </c>
      <c r="N38" s="106">
        <v>301</v>
      </c>
      <c r="O38" s="107">
        <f>IF(SUM(C38:N38)=0,0,AVERAGE(C38:N38))</f>
        <v>336.25</v>
      </c>
      <c r="P38" s="111">
        <f>+O38/$O$50</f>
        <v>0.011644887216309189</v>
      </c>
    </row>
    <row r="39" spans="1:15" ht="12.75">
      <c r="A39" s="105"/>
      <c r="B39" s="105"/>
      <c r="C39" s="106"/>
      <c r="D39" s="106"/>
      <c r="E39" s="106"/>
      <c r="F39" s="106"/>
      <c r="G39" s="106"/>
      <c r="H39" s="106"/>
      <c r="I39" s="106"/>
      <c r="J39" s="106"/>
      <c r="K39" s="106"/>
      <c r="L39" s="106"/>
      <c r="M39" s="106"/>
      <c r="N39" s="106"/>
      <c r="O39" s="107"/>
    </row>
    <row r="40" spans="1:15" ht="12.75">
      <c r="A40" s="108" t="s">
        <v>387</v>
      </c>
      <c r="B40" s="105" t="s">
        <v>388</v>
      </c>
      <c r="C40" s="106">
        <v>21</v>
      </c>
      <c r="D40" s="106">
        <v>19</v>
      </c>
      <c r="E40" s="106">
        <v>17</v>
      </c>
      <c r="F40" s="106">
        <v>17</v>
      </c>
      <c r="G40" s="106">
        <v>29</v>
      </c>
      <c r="H40" s="106">
        <v>31</v>
      </c>
      <c r="I40" s="106">
        <v>34</v>
      </c>
      <c r="J40" s="106">
        <v>34</v>
      </c>
      <c r="K40" s="106">
        <v>32</v>
      </c>
      <c r="L40" s="106">
        <v>26</v>
      </c>
      <c r="M40" s="106">
        <v>19</v>
      </c>
      <c r="N40" s="106">
        <v>22</v>
      </c>
      <c r="O40" s="107">
        <f>IF(SUM(C40:N40)=0,0,AVERAGE(C40:N40))</f>
        <v>25.083333333333332</v>
      </c>
    </row>
    <row r="41" spans="1:15" ht="12.75">
      <c r="A41" s="108" t="s">
        <v>387</v>
      </c>
      <c r="B41" s="105" t="s">
        <v>387</v>
      </c>
      <c r="C41" s="106">
        <v>1086</v>
      </c>
      <c r="D41" s="106">
        <v>968</v>
      </c>
      <c r="E41" s="106">
        <v>873</v>
      </c>
      <c r="F41" s="106">
        <v>743</v>
      </c>
      <c r="G41" s="106">
        <v>1084</v>
      </c>
      <c r="H41" s="106">
        <v>1197</v>
      </c>
      <c r="I41" s="106">
        <v>1236</v>
      </c>
      <c r="J41" s="106">
        <v>1210</v>
      </c>
      <c r="K41" s="106">
        <v>1152</v>
      </c>
      <c r="L41" s="106">
        <v>989</v>
      </c>
      <c r="M41" s="106">
        <v>957</v>
      </c>
      <c r="N41" s="106">
        <v>1226</v>
      </c>
      <c r="O41" s="107">
        <f>IF(SUM(C41:N41)=0,0,AVERAGE(C41:N41))</f>
        <v>1060.0833333333333</v>
      </c>
    </row>
    <row r="42" spans="1:15" ht="13.5" thickBot="1">
      <c r="A42" s="108" t="s">
        <v>387</v>
      </c>
      <c r="B42" s="105" t="s">
        <v>389</v>
      </c>
      <c r="C42" s="109">
        <v>4</v>
      </c>
      <c r="D42" s="109">
        <v>3</v>
      </c>
      <c r="E42" s="109">
        <v>3</v>
      </c>
      <c r="F42" s="109">
        <v>4</v>
      </c>
      <c r="G42" s="109">
        <v>6</v>
      </c>
      <c r="H42" s="109">
        <v>7</v>
      </c>
      <c r="I42" s="109">
        <v>8</v>
      </c>
      <c r="J42" s="109">
        <v>7</v>
      </c>
      <c r="K42" s="109">
        <v>7</v>
      </c>
      <c r="L42" s="109">
        <v>5</v>
      </c>
      <c r="M42" s="109">
        <v>3</v>
      </c>
      <c r="N42" s="109">
        <v>4</v>
      </c>
      <c r="O42" s="110">
        <f>IF(SUM(C42:N42)=0,0,AVERAGE(C42:N42))</f>
        <v>5.083333333333333</v>
      </c>
    </row>
    <row r="43" spans="1:16" ht="12.75">
      <c r="A43" s="108" t="s">
        <v>390</v>
      </c>
      <c r="B43" s="105"/>
      <c r="C43" s="106">
        <f aca="true" t="shared" si="5" ref="C43:N43">SUM(C40:C42)</f>
        <v>1111</v>
      </c>
      <c r="D43" s="106">
        <f t="shared" si="5"/>
        <v>990</v>
      </c>
      <c r="E43" s="106">
        <f t="shared" si="5"/>
        <v>893</v>
      </c>
      <c r="F43" s="106">
        <f t="shared" si="5"/>
        <v>764</v>
      </c>
      <c r="G43" s="106">
        <f t="shared" si="5"/>
        <v>1119</v>
      </c>
      <c r="H43" s="106">
        <f t="shared" si="5"/>
        <v>1235</v>
      </c>
      <c r="I43" s="106">
        <f t="shared" si="5"/>
        <v>1278</v>
      </c>
      <c r="J43" s="106">
        <f t="shared" si="5"/>
        <v>1251</v>
      </c>
      <c r="K43" s="106">
        <f t="shared" si="5"/>
        <v>1191</v>
      </c>
      <c r="L43" s="106">
        <f t="shared" si="5"/>
        <v>1020</v>
      </c>
      <c r="M43" s="106">
        <f t="shared" si="5"/>
        <v>979</v>
      </c>
      <c r="N43" s="106">
        <f t="shared" si="5"/>
        <v>1252</v>
      </c>
      <c r="O43" s="107">
        <f>IF(SUM(C43:N43)=0,0,AVERAGE(C43:N43))</f>
        <v>1090.25</v>
      </c>
      <c r="P43" s="111">
        <f>+O43/$O$50</f>
        <v>0.037757139888717005</v>
      </c>
    </row>
    <row r="44" spans="1:15" ht="12.75">
      <c r="A44" s="105"/>
      <c r="B44" s="105"/>
      <c r="C44" s="106"/>
      <c r="D44" s="106"/>
      <c r="E44" s="106"/>
      <c r="F44" s="106"/>
      <c r="G44" s="106"/>
      <c r="H44" s="106"/>
      <c r="I44" s="106"/>
      <c r="J44" s="106"/>
      <c r="K44" s="106"/>
      <c r="L44" s="106"/>
      <c r="M44" s="106"/>
      <c r="N44" s="106"/>
      <c r="O44" s="107"/>
    </row>
    <row r="45" spans="1:15" ht="12.75">
      <c r="A45" s="116" t="s">
        <v>14</v>
      </c>
      <c r="B45" s="115" t="s">
        <v>378</v>
      </c>
      <c r="C45" s="106">
        <v>167</v>
      </c>
      <c r="D45" s="106">
        <v>184</v>
      </c>
      <c r="E45" s="106">
        <v>156</v>
      </c>
      <c r="F45" s="106">
        <v>112</v>
      </c>
      <c r="G45" s="106">
        <v>173</v>
      </c>
      <c r="H45" s="106">
        <v>253</v>
      </c>
      <c r="I45" s="106">
        <v>270</v>
      </c>
      <c r="J45" s="106">
        <v>253</v>
      </c>
      <c r="K45" s="106">
        <v>225</v>
      </c>
      <c r="L45" s="106">
        <v>184</v>
      </c>
      <c r="M45" s="106">
        <v>192</v>
      </c>
      <c r="N45" s="106">
        <v>227</v>
      </c>
      <c r="O45" s="107">
        <f>IF(SUM(C45:N45)=0,0,AVERAGE(C45:N45))</f>
        <v>199.66666666666666</v>
      </c>
    </row>
    <row r="46" spans="1:15" ht="12.75">
      <c r="A46" s="116" t="s">
        <v>14</v>
      </c>
      <c r="B46" s="115" t="s">
        <v>391</v>
      </c>
      <c r="C46" s="106">
        <v>68</v>
      </c>
      <c r="D46" s="106">
        <v>62</v>
      </c>
      <c r="E46" s="106">
        <v>54</v>
      </c>
      <c r="F46" s="106">
        <v>67</v>
      </c>
      <c r="G46" s="106">
        <v>85</v>
      </c>
      <c r="H46" s="106">
        <v>88</v>
      </c>
      <c r="I46" s="106">
        <v>102</v>
      </c>
      <c r="J46" s="106">
        <v>100</v>
      </c>
      <c r="K46" s="106">
        <v>98</v>
      </c>
      <c r="L46" s="106">
        <v>96</v>
      </c>
      <c r="M46" s="106">
        <v>76</v>
      </c>
      <c r="N46" s="106">
        <v>82</v>
      </c>
      <c r="O46" s="107">
        <f>IF(SUM(C46:N46)=0,0,AVERAGE(C46:N46))</f>
        <v>81.5</v>
      </c>
    </row>
    <row r="47" spans="1:15" ht="13.5" thickBot="1">
      <c r="A47" s="116" t="s">
        <v>14</v>
      </c>
      <c r="B47" s="115" t="s">
        <v>392</v>
      </c>
      <c r="C47" s="109">
        <v>3047</v>
      </c>
      <c r="D47" s="109">
        <v>3025</v>
      </c>
      <c r="E47" s="109">
        <v>2666</v>
      </c>
      <c r="F47" s="109">
        <v>2992</v>
      </c>
      <c r="G47" s="109">
        <v>3852</v>
      </c>
      <c r="H47" s="109">
        <v>4515</v>
      </c>
      <c r="I47" s="109">
        <v>4672</v>
      </c>
      <c r="J47" s="109">
        <v>4704</v>
      </c>
      <c r="K47" s="109">
        <v>4385</v>
      </c>
      <c r="L47" s="109">
        <v>3951</v>
      </c>
      <c r="M47" s="109">
        <v>3147</v>
      </c>
      <c r="N47" s="109">
        <v>3475</v>
      </c>
      <c r="O47" s="110">
        <f>IF(SUM(C47:N47)=0,0,AVERAGE(C47:N47))</f>
        <v>3702.5833333333335</v>
      </c>
    </row>
    <row r="48" spans="1:16" ht="12.75">
      <c r="A48" s="108" t="s">
        <v>393</v>
      </c>
      <c r="B48" s="105"/>
      <c r="C48" s="106">
        <f aca="true" t="shared" si="6" ref="C48:N48">SUM(C45:C47)</f>
        <v>3282</v>
      </c>
      <c r="D48" s="106">
        <f t="shared" si="6"/>
        <v>3271</v>
      </c>
      <c r="E48" s="106">
        <f t="shared" si="6"/>
        <v>2876</v>
      </c>
      <c r="F48" s="106">
        <f t="shared" si="6"/>
        <v>3171</v>
      </c>
      <c r="G48" s="106">
        <f t="shared" si="6"/>
        <v>4110</v>
      </c>
      <c r="H48" s="106">
        <f t="shared" si="6"/>
        <v>4856</v>
      </c>
      <c r="I48" s="106">
        <f t="shared" si="6"/>
        <v>5044</v>
      </c>
      <c r="J48" s="106">
        <f t="shared" si="6"/>
        <v>5057</v>
      </c>
      <c r="K48" s="106">
        <f t="shared" si="6"/>
        <v>4708</v>
      </c>
      <c r="L48" s="106">
        <f t="shared" si="6"/>
        <v>4231</v>
      </c>
      <c r="M48" s="106">
        <f t="shared" si="6"/>
        <v>3415</v>
      </c>
      <c r="N48" s="106">
        <f t="shared" si="6"/>
        <v>3784</v>
      </c>
      <c r="O48" s="107">
        <f>IF(SUM(C48:N48)=0,0,AVERAGE(C48:N48))</f>
        <v>3983.75</v>
      </c>
      <c r="P48" s="111">
        <f>+O48/$O$50</f>
        <v>0.1379637753099531</v>
      </c>
    </row>
    <row r="50" spans="3:16" ht="12.75">
      <c r="C50" s="117">
        <f aca="true" t="shared" si="7" ref="C50:O50">+C48+C43+C38+C36+C34+C32+C27+C23+C21+C19+C15+C13+C11</f>
        <v>25386</v>
      </c>
      <c r="D50" s="117">
        <f t="shared" si="7"/>
        <v>24054</v>
      </c>
      <c r="E50" s="117">
        <f t="shared" si="7"/>
        <v>22329</v>
      </c>
      <c r="F50" s="117">
        <f t="shared" si="7"/>
        <v>22604</v>
      </c>
      <c r="G50" s="117">
        <f t="shared" si="7"/>
        <v>30132</v>
      </c>
      <c r="H50" s="117">
        <f t="shared" si="7"/>
        <v>34946</v>
      </c>
      <c r="I50" s="117">
        <f t="shared" si="7"/>
        <v>36383</v>
      </c>
      <c r="J50" s="117">
        <f t="shared" si="7"/>
        <v>35861</v>
      </c>
      <c r="K50" s="117">
        <f t="shared" si="7"/>
        <v>33248</v>
      </c>
      <c r="L50" s="117">
        <f t="shared" si="7"/>
        <v>29076</v>
      </c>
      <c r="M50" s="117">
        <f t="shared" si="7"/>
        <v>24191</v>
      </c>
      <c r="N50" s="117">
        <f t="shared" si="7"/>
        <v>28294</v>
      </c>
      <c r="O50" s="117">
        <f t="shared" si="7"/>
        <v>28875.33333333334</v>
      </c>
      <c r="P50" s="118">
        <f>SUM(P5:P48)</f>
        <v>0.9999999999999998</v>
      </c>
    </row>
    <row r="53" spans="2:4" ht="12.75">
      <c r="B53" s="2" t="s">
        <v>1</v>
      </c>
      <c r="C53" s="5"/>
      <c r="D53" s="173"/>
    </row>
    <row r="54" spans="2:4" ht="12.75">
      <c r="B54" s="5" t="s">
        <v>5</v>
      </c>
      <c r="C54" s="5"/>
      <c r="D54" s="173"/>
    </row>
    <row r="55" spans="2:4" ht="12.75">
      <c r="B55" s="5" t="s">
        <v>6</v>
      </c>
      <c r="C55" s="5"/>
      <c r="D55" s="173"/>
    </row>
    <row r="56" spans="2:4" ht="12.75">
      <c r="B56" s="5" t="s">
        <v>7</v>
      </c>
      <c r="C56" s="119">
        <f>P11</f>
        <v>0.26842691570660077</v>
      </c>
      <c r="D56" s="173">
        <f>O11</f>
        <v>7750.916666666667</v>
      </c>
    </row>
    <row r="57" spans="2:4" ht="12.75">
      <c r="B57" s="5" t="s">
        <v>8</v>
      </c>
      <c r="C57" s="119">
        <f>P21</f>
        <v>0.023359037702306462</v>
      </c>
      <c r="D57" s="173">
        <f>O21</f>
        <v>674.5</v>
      </c>
    </row>
    <row r="58" spans="2:4" ht="12.75">
      <c r="B58" s="5" t="s">
        <v>9</v>
      </c>
      <c r="C58" s="119">
        <f>P32</f>
        <v>0.1693140627525223</v>
      </c>
      <c r="D58" s="173">
        <f>O32</f>
        <v>4889</v>
      </c>
    </row>
    <row r="59" spans="2:4" ht="12.75">
      <c r="B59" s="5" t="s">
        <v>10</v>
      </c>
      <c r="C59" s="119">
        <f>P43</f>
        <v>0.037757139888717005</v>
      </c>
      <c r="D59" s="173">
        <f>O43</f>
        <v>1090.25</v>
      </c>
    </row>
    <row r="60" spans="2:4" ht="12.75">
      <c r="B60" s="5" t="s">
        <v>11</v>
      </c>
      <c r="C60" s="119">
        <f>P36</f>
        <v>0.13787142428370233</v>
      </c>
      <c r="D60" s="173">
        <f>O36</f>
        <v>3981.0833333333335</v>
      </c>
    </row>
    <row r="61" spans="2:4" ht="12.75">
      <c r="B61" s="5" t="s">
        <v>12</v>
      </c>
      <c r="C61" s="119">
        <f>P27</f>
        <v>0.008591531410892802</v>
      </c>
      <c r="D61" s="173">
        <f>O27</f>
        <v>248.08333333333334</v>
      </c>
    </row>
    <row r="62" spans="2:4" ht="12.75">
      <c r="B62" s="5" t="s">
        <v>13</v>
      </c>
      <c r="C62" s="119">
        <f>P38</f>
        <v>0.011644887216309189</v>
      </c>
      <c r="D62" s="173">
        <f>O38</f>
        <v>336.25</v>
      </c>
    </row>
    <row r="63" spans="2:4" ht="12.75">
      <c r="B63" s="5" t="s">
        <v>14</v>
      </c>
      <c r="C63" s="119">
        <f>P48</f>
        <v>0.1379637753099531</v>
      </c>
      <c r="D63" s="173">
        <f>O48</f>
        <v>3983.75</v>
      </c>
    </row>
    <row r="64" spans="2:4" ht="12.75">
      <c r="B64" s="5" t="s">
        <v>15</v>
      </c>
      <c r="C64" s="119">
        <f>P15</f>
        <v>0.014499111121372334</v>
      </c>
      <c r="D64" s="173">
        <f>O15</f>
        <v>418.6666666666667</v>
      </c>
    </row>
    <row r="65" spans="2:4" ht="12.75">
      <c r="B65" s="5" t="s">
        <v>16</v>
      </c>
      <c r="C65" s="119">
        <f>P13</f>
        <v>0.0483371043335719</v>
      </c>
      <c r="D65" s="173">
        <f>O13</f>
        <v>1395.75</v>
      </c>
    </row>
    <row r="66" spans="2:4" ht="12.75">
      <c r="B66" s="5" t="s">
        <v>17</v>
      </c>
      <c r="C66" s="119">
        <f>P23</f>
        <v>0.09225867522452841</v>
      </c>
      <c r="D66" s="173">
        <f>O23</f>
        <v>2664</v>
      </c>
    </row>
    <row r="67" spans="2:4" ht="12.75">
      <c r="B67" s="5" t="s">
        <v>18</v>
      </c>
      <c r="C67" s="119">
        <f>P19</f>
        <v>0.031468612194953005</v>
      </c>
      <c r="D67" s="173">
        <f>O19</f>
        <v>908.6666666666666</v>
      </c>
    </row>
    <row r="68" spans="2:4" ht="12.75">
      <c r="B68" s="5" t="s">
        <v>19</v>
      </c>
      <c r="C68" s="119">
        <f>P34</f>
        <v>0.018507722854570217</v>
      </c>
      <c r="D68" s="173">
        <f>O34</f>
        <v>534.4166666666666</v>
      </c>
    </row>
    <row r="69" spans="2:4" ht="12.75">
      <c r="B69" s="2" t="s">
        <v>20</v>
      </c>
      <c r="C69" s="119">
        <f>SUM(C56:C68)</f>
        <v>0.9999999999999998</v>
      </c>
      <c r="D69" s="173">
        <f>SUM(D56:D68)</f>
        <v>28875.333333333336</v>
      </c>
    </row>
  </sheetData>
  <printOptions/>
  <pageMargins left="0.75" right="0.75" top="1" bottom="1" header="0.5" footer="0.5"/>
  <pageSetup orientation="portrait" paperSize="9"/>
  <ignoredErrors>
    <ignoredError sqref="C61" formula="1"/>
  </ignoredErrors>
  <legacyDrawing r:id="rId2"/>
</worksheet>
</file>

<file path=xl/worksheets/sheet11.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140625" defaultRowHeight="12.75"/>
  <cols>
    <col min="1" max="1" width="9.140625" style="87" customWidth="1"/>
    <col min="2" max="2" width="27.8515625" style="87" customWidth="1"/>
    <col min="3" max="16384" width="9.140625" style="87" customWidth="1"/>
  </cols>
  <sheetData>
    <row r="1" spans="2:11" ht="67.5">
      <c r="B1" s="85"/>
      <c r="C1" s="86" t="s">
        <v>337</v>
      </c>
      <c r="D1" s="86" t="s">
        <v>338</v>
      </c>
      <c r="E1" s="86" t="s">
        <v>339</v>
      </c>
      <c r="F1" s="86" t="s">
        <v>340</v>
      </c>
      <c r="G1" s="86" t="s">
        <v>341</v>
      </c>
      <c r="H1" s="86" t="s">
        <v>342</v>
      </c>
      <c r="I1" s="86" t="s">
        <v>343</v>
      </c>
      <c r="J1" s="86" t="s">
        <v>344</v>
      </c>
      <c r="K1" s="86" t="s">
        <v>345</v>
      </c>
    </row>
    <row r="2" spans="1:11" ht="12.75">
      <c r="A2" s="5" t="s">
        <v>7</v>
      </c>
      <c r="B2" s="88" t="s">
        <v>346</v>
      </c>
      <c r="C2" s="89">
        <v>0.0859</v>
      </c>
      <c r="D2" s="89">
        <v>0.033333</v>
      </c>
      <c r="E2" s="89">
        <v>0.0224</v>
      </c>
      <c r="F2" s="89">
        <v>0.0159</v>
      </c>
      <c r="G2" s="89">
        <v>0.0052</v>
      </c>
      <c r="H2" s="89">
        <v>0.0256</v>
      </c>
      <c r="I2" s="89">
        <v>0.0026</v>
      </c>
      <c r="J2" s="89">
        <v>-0.0108</v>
      </c>
      <c r="K2" s="89">
        <f aca="true" t="shared" si="0" ref="K2:K17">SUM(C2:J2)</f>
        <v>0.18013300000000002</v>
      </c>
    </row>
    <row r="3" spans="1:11" ht="12.75">
      <c r="A3" s="5" t="s">
        <v>5</v>
      </c>
      <c r="B3" s="90" t="s">
        <v>347</v>
      </c>
      <c r="C3" s="91">
        <v>0.096666</v>
      </c>
      <c r="D3" s="91">
        <v>0</v>
      </c>
      <c r="E3" s="91">
        <v>0.034706</v>
      </c>
      <c r="F3" s="91">
        <v>0.024106</v>
      </c>
      <c r="G3" s="91">
        <v>0.006101</v>
      </c>
      <c r="H3" s="91">
        <v>0.016742</v>
      </c>
      <c r="I3" s="91">
        <v>0.003549</v>
      </c>
      <c r="J3" s="91">
        <v>-0.013137</v>
      </c>
      <c r="K3" s="91">
        <f t="shared" si="0"/>
        <v>0.16873299999999997</v>
      </c>
    </row>
    <row r="4" spans="1:11" ht="12.75">
      <c r="A4" s="5" t="s">
        <v>18</v>
      </c>
      <c r="B4" s="88" t="s">
        <v>348</v>
      </c>
      <c r="C4" s="89">
        <v>0.0908</v>
      </c>
      <c r="D4" s="89">
        <v>0.033333</v>
      </c>
      <c r="E4" s="89">
        <v>0.0276</v>
      </c>
      <c r="F4" s="89">
        <v>0.0156</v>
      </c>
      <c r="G4" s="89">
        <v>0.0086</v>
      </c>
      <c r="H4" s="89">
        <v>0.0164</v>
      </c>
      <c r="I4" s="89">
        <v>0.0025</v>
      </c>
      <c r="J4" s="89">
        <v>-0.0118</v>
      </c>
      <c r="K4" s="89">
        <f t="shared" si="0"/>
        <v>0.183033</v>
      </c>
    </row>
    <row r="5" spans="1:11" ht="12.75">
      <c r="A5" s="5" t="s">
        <v>8</v>
      </c>
      <c r="B5" s="92" t="s">
        <v>349</v>
      </c>
      <c r="C5" s="91">
        <v>0.1095</v>
      </c>
      <c r="D5" s="89">
        <v>0.033333</v>
      </c>
      <c r="E5" s="91">
        <v>0</v>
      </c>
      <c r="F5" s="91">
        <v>0</v>
      </c>
      <c r="G5" s="91">
        <v>0.0148</v>
      </c>
      <c r="H5" s="91">
        <v>0.0278</v>
      </c>
      <c r="I5" s="91">
        <v>0.005</v>
      </c>
      <c r="J5" s="91">
        <v>0</v>
      </c>
      <c r="K5" s="91">
        <f t="shared" si="0"/>
        <v>0.190433</v>
      </c>
    </row>
    <row r="6" spans="1:11" ht="12.75">
      <c r="A6" s="5" t="s">
        <v>17</v>
      </c>
      <c r="B6" s="88" t="s">
        <v>350</v>
      </c>
      <c r="C6" s="89">
        <v>0.0922</v>
      </c>
      <c r="D6" s="89">
        <v>0.033333</v>
      </c>
      <c r="E6" s="89">
        <v>0.0286</v>
      </c>
      <c r="F6" s="89">
        <v>0.0218</v>
      </c>
      <c r="G6" s="89">
        <v>0.014</v>
      </c>
      <c r="H6" s="89">
        <v>0.0417</v>
      </c>
      <c r="I6" s="89">
        <v>0.0033</v>
      </c>
      <c r="J6" s="89">
        <v>-0.0121</v>
      </c>
      <c r="K6" s="89">
        <f t="shared" si="0"/>
        <v>0.22283300000000003</v>
      </c>
    </row>
    <row r="7" spans="1:11" ht="12.75">
      <c r="A7" s="5" t="s">
        <v>12</v>
      </c>
      <c r="B7" s="88" t="s">
        <v>351</v>
      </c>
      <c r="C7" s="89">
        <v>0.0781</v>
      </c>
      <c r="D7" s="89">
        <v>0.033333</v>
      </c>
      <c r="E7" s="89">
        <v>0</v>
      </c>
      <c r="F7" s="89">
        <v>0.0167</v>
      </c>
      <c r="G7" s="89">
        <v>0.006</v>
      </c>
      <c r="H7" s="89">
        <v>0.0169</v>
      </c>
      <c r="I7" s="89">
        <v>0.0016</v>
      </c>
      <c r="J7" s="89">
        <v>-0.0078</v>
      </c>
      <c r="K7" s="89">
        <f t="shared" si="0"/>
        <v>0.144833</v>
      </c>
    </row>
    <row r="8" spans="1:11" ht="12.75">
      <c r="A8" s="5" t="s">
        <v>16</v>
      </c>
      <c r="B8" s="88" t="s">
        <v>352</v>
      </c>
      <c r="C8" s="89">
        <v>0.0904</v>
      </c>
      <c r="D8" s="89">
        <v>0.033333</v>
      </c>
      <c r="E8" s="89">
        <v>0.0282</v>
      </c>
      <c r="F8" s="89">
        <v>0.0114</v>
      </c>
      <c r="G8" s="89">
        <v>0.0081</v>
      </c>
      <c r="H8" s="89">
        <v>0.0142</v>
      </c>
      <c r="I8" s="89">
        <v>0.0011</v>
      </c>
      <c r="J8" s="89">
        <v>-0.0119</v>
      </c>
      <c r="K8" s="89">
        <f t="shared" si="0"/>
        <v>0.17483299999999996</v>
      </c>
    </row>
    <row r="9" spans="1:11" ht="12.75">
      <c r="A9" s="5" t="s">
        <v>9</v>
      </c>
      <c r="B9" s="93" t="s">
        <v>353</v>
      </c>
      <c r="C9" s="89">
        <v>0.0959</v>
      </c>
      <c r="D9" s="89">
        <v>0.033333</v>
      </c>
      <c r="E9" s="89">
        <v>0.0342</v>
      </c>
      <c r="F9" s="89">
        <v>0.0109</v>
      </c>
      <c r="G9" s="89">
        <v>0.0143</v>
      </c>
      <c r="H9" s="89">
        <v>0.0438</v>
      </c>
      <c r="I9" s="89">
        <v>0.0041</v>
      </c>
      <c r="J9" s="89">
        <v>-0.013</v>
      </c>
      <c r="K9" s="89">
        <f t="shared" si="0"/>
        <v>0.22353299999999998</v>
      </c>
    </row>
    <row r="10" spans="1:11" ht="12.75">
      <c r="A10" s="5" t="s">
        <v>6</v>
      </c>
      <c r="B10" s="90" t="s">
        <v>354</v>
      </c>
      <c r="C10" s="91">
        <v>0.066195</v>
      </c>
      <c r="D10" s="89">
        <v>0.033333</v>
      </c>
      <c r="E10" s="91">
        <v>0</v>
      </c>
      <c r="F10" s="91">
        <v>0</v>
      </c>
      <c r="G10" s="91">
        <v>0.022979</v>
      </c>
      <c r="H10" s="91">
        <v>0.063632</v>
      </c>
      <c r="I10" s="91">
        <v>0</v>
      </c>
      <c r="J10" s="91">
        <v>0</v>
      </c>
      <c r="K10" s="91">
        <f t="shared" si="0"/>
        <v>0.186139</v>
      </c>
    </row>
    <row r="11" spans="1:11" ht="12.75">
      <c r="A11" s="5" t="s">
        <v>11</v>
      </c>
      <c r="B11" s="88" t="s">
        <v>355</v>
      </c>
      <c r="C11" s="89">
        <v>0.0837</v>
      </c>
      <c r="D11" s="89">
        <v>0.033333</v>
      </c>
      <c r="E11" s="89">
        <v>0.023</v>
      </c>
      <c r="F11" s="89">
        <v>0.0144</v>
      </c>
      <c r="G11" s="89">
        <v>0.0079</v>
      </c>
      <c r="H11" s="89">
        <v>0.0125</v>
      </c>
      <c r="I11" s="89">
        <v>0.0029</v>
      </c>
      <c r="J11" s="89">
        <v>-0.0107</v>
      </c>
      <c r="K11" s="89">
        <f t="shared" si="0"/>
        <v>0.167033</v>
      </c>
    </row>
    <row r="12" spans="1:11" ht="12.75">
      <c r="A12" s="5" t="s">
        <v>19</v>
      </c>
      <c r="B12" s="92" t="s">
        <v>356</v>
      </c>
      <c r="C12" s="91">
        <v>0.081</v>
      </c>
      <c r="D12" s="89">
        <v>0.033333</v>
      </c>
      <c r="E12" s="91">
        <v>0</v>
      </c>
      <c r="F12" s="91">
        <v>0.0083</v>
      </c>
      <c r="G12" s="91">
        <v>0.0082</v>
      </c>
      <c r="H12" s="91">
        <v>0.0246</v>
      </c>
      <c r="I12" s="91">
        <v>0.0013</v>
      </c>
      <c r="J12" s="91">
        <v>0</v>
      </c>
      <c r="K12" s="91">
        <f t="shared" si="0"/>
        <v>0.156733</v>
      </c>
    </row>
    <row r="13" spans="1:11" ht="12.75">
      <c r="A13" s="5" t="s">
        <v>13</v>
      </c>
      <c r="B13" s="93" t="s">
        <v>357</v>
      </c>
      <c r="C13" s="89">
        <v>0.0598</v>
      </c>
      <c r="D13" s="89">
        <v>0.033333</v>
      </c>
      <c r="E13" s="89">
        <v>0</v>
      </c>
      <c r="F13" s="89">
        <v>0</v>
      </c>
      <c r="G13" s="89">
        <v>0.0081</v>
      </c>
      <c r="H13" s="89">
        <v>0.0601</v>
      </c>
      <c r="I13" s="89">
        <v>0.0015</v>
      </c>
      <c r="J13" s="89">
        <v>-0.006</v>
      </c>
      <c r="K13" s="89">
        <f t="shared" si="0"/>
        <v>0.156833</v>
      </c>
    </row>
    <row r="14" spans="2:11" ht="12.75">
      <c r="B14" s="93" t="s">
        <v>358</v>
      </c>
      <c r="C14" s="89">
        <v>0.0987</v>
      </c>
      <c r="D14" s="89">
        <v>0.033333</v>
      </c>
      <c r="E14" s="89">
        <v>0.0303</v>
      </c>
      <c r="F14" s="89">
        <v>0.0139</v>
      </c>
      <c r="G14" s="89">
        <v>0.022</v>
      </c>
      <c r="H14" s="89">
        <v>0.0466</v>
      </c>
      <c r="I14" s="89">
        <v>0.0042</v>
      </c>
      <c r="J14" s="89">
        <v>-0.0129</v>
      </c>
      <c r="K14" s="89">
        <f t="shared" si="0"/>
        <v>0.236133</v>
      </c>
    </row>
    <row r="15" spans="1:11" ht="12.75">
      <c r="A15" s="5" t="s">
        <v>15</v>
      </c>
      <c r="B15" s="88" t="s">
        <v>359</v>
      </c>
      <c r="C15" s="89">
        <v>0.0947</v>
      </c>
      <c r="D15" s="89">
        <v>0.033333</v>
      </c>
      <c r="E15" s="89">
        <v>0.0264</v>
      </c>
      <c r="F15" s="89">
        <v>0.0171</v>
      </c>
      <c r="G15" s="89">
        <v>0.0109</v>
      </c>
      <c r="H15" s="89">
        <v>0.0193</v>
      </c>
      <c r="I15" s="89">
        <v>0.0016</v>
      </c>
      <c r="J15" s="89">
        <v>-0.0121</v>
      </c>
      <c r="K15" s="89">
        <f t="shared" si="0"/>
        <v>0.19123300000000001</v>
      </c>
    </row>
    <row r="16" spans="1:11" ht="12.75">
      <c r="A16" s="5" t="s">
        <v>14</v>
      </c>
      <c r="B16" s="92" t="s">
        <v>360</v>
      </c>
      <c r="C16" s="91">
        <v>0.04406</v>
      </c>
      <c r="D16" s="89">
        <v>0.033333</v>
      </c>
      <c r="E16" s="91">
        <v>0</v>
      </c>
      <c r="F16" s="91">
        <v>0</v>
      </c>
      <c r="G16" s="91">
        <v>0.00496</v>
      </c>
      <c r="H16" s="91">
        <v>0.03019</v>
      </c>
      <c r="I16" s="91">
        <v>0.00094</v>
      </c>
      <c r="J16" s="91">
        <v>0</v>
      </c>
      <c r="K16" s="91">
        <f t="shared" si="0"/>
        <v>0.113483</v>
      </c>
    </row>
    <row r="17" spans="1:11" ht="12.75">
      <c r="A17" s="5" t="s">
        <v>10</v>
      </c>
      <c r="B17" s="93" t="s">
        <v>361</v>
      </c>
      <c r="C17" s="89">
        <v>0.0753</v>
      </c>
      <c r="D17" s="89">
        <v>0.033333</v>
      </c>
      <c r="E17" s="89">
        <v>0.027</v>
      </c>
      <c r="F17" s="89">
        <v>0.0156</v>
      </c>
      <c r="G17" s="89">
        <v>0.014</v>
      </c>
      <c r="H17" s="89">
        <v>0.0235</v>
      </c>
      <c r="I17" s="89">
        <v>0.0039</v>
      </c>
      <c r="J17" s="89">
        <v>-0.0102</v>
      </c>
      <c r="K17" s="89">
        <f t="shared" si="0"/>
        <v>0.182433</v>
      </c>
    </row>
    <row r="19" ht="12.75"/>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42"/>
  </sheetPr>
  <dimension ref="A2:Q19"/>
  <sheetViews>
    <sheetView zoomScale="130" zoomScaleNormal="130" workbookViewId="0" topLeftCell="A1">
      <selection activeCell="N4" sqref="N4"/>
    </sheetView>
  </sheetViews>
  <sheetFormatPr defaultColWidth="9.140625" defaultRowHeight="12.75"/>
  <cols>
    <col min="3" max="3" width="6.57421875" style="0" customWidth="1"/>
    <col min="4" max="4" width="5.8515625" style="0" customWidth="1"/>
    <col min="5" max="5" width="5.57421875" style="0" bestFit="1" customWidth="1"/>
    <col min="6" max="6" width="6.7109375" style="71" hidden="1" customWidth="1"/>
    <col min="7" max="7" width="1.57421875" style="0" customWidth="1"/>
    <col min="8" max="11" width="13.7109375" style="0" hidden="1" customWidth="1"/>
    <col min="12" max="12" width="13.421875" style="71" hidden="1" customWidth="1"/>
    <col min="13" max="13" width="7.8515625" style="0" hidden="1" customWidth="1"/>
    <col min="14" max="14" width="10.421875" style="0" customWidth="1"/>
    <col min="15" max="15" width="11.421875" style="0" customWidth="1"/>
    <col min="16" max="16" width="10.140625" style="0" customWidth="1"/>
    <col min="17" max="17" width="11.57421875" style="0" customWidth="1"/>
  </cols>
  <sheetData>
    <row r="2" spans="2:17" ht="12.75">
      <c r="B2" s="186" t="s">
        <v>443</v>
      </c>
      <c r="C2" s="185"/>
      <c r="D2" s="185"/>
      <c r="E2" s="184"/>
      <c r="G2" s="165"/>
      <c r="H2" s="186" t="s">
        <v>445</v>
      </c>
      <c r="I2" s="185"/>
      <c r="J2" s="185"/>
      <c r="K2" s="184"/>
      <c r="N2" s="186" t="s">
        <v>445</v>
      </c>
      <c r="O2" s="185"/>
      <c r="P2" s="185"/>
      <c r="Q2" s="184"/>
    </row>
    <row r="3" spans="1:17" ht="38.25">
      <c r="A3" s="120" t="s">
        <v>1</v>
      </c>
      <c r="B3" s="144" t="s">
        <v>439</v>
      </c>
      <c r="C3" s="144" t="s">
        <v>440</v>
      </c>
      <c r="D3" s="144" t="s">
        <v>441</v>
      </c>
      <c r="E3" s="144" t="s">
        <v>442</v>
      </c>
      <c r="F3" s="71" t="s">
        <v>444</v>
      </c>
      <c r="G3" s="166"/>
      <c r="H3" s="144" t="s">
        <v>439</v>
      </c>
      <c r="I3" s="144" t="s">
        <v>440</v>
      </c>
      <c r="J3" s="144" t="s">
        <v>441</v>
      </c>
      <c r="K3" s="144" t="s">
        <v>442</v>
      </c>
      <c r="L3" s="71" t="s">
        <v>444</v>
      </c>
      <c r="N3" s="144" t="s">
        <v>439</v>
      </c>
      <c r="O3" s="144" t="s">
        <v>440</v>
      </c>
      <c r="P3" s="144" t="s">
        <v>441</v>
      </c>
      <c r="Q3" s="144" t="s">
        <v>442</v>
      </c>
    </row>
    <row r="4" spans="1:17" ht="12.75">
      <c r="A4" s="5" t="s">
        <v>7</v>
      </c>
      <c r="B4" s="163">
        <f>COUNT('2007 Q1 Project List'!F6,'2007 Q1 Project List'!F12,'2007 Q1 Project List'!F63,'2007 Q1 Project List'!F64,'2007 Q1 Project List'!F65,'2007 Q1 Project List'!F7)+COUNT('2006 Apprv Base Plan List'!G11,'2006 Apprv Base Plan List'!G12)</f>
        <v>8</v>
      </c>
      <c r="C4" s="163">
        <f>COUNT('2007 Q1 Project List'!F8,'2007 Q1 Project List'!F9,'2007 Q1 Project List'!F10,'2007 Q1 Project List'!F11)+COUNT('2006 Apprv Base Plan List'!G5,'2006 Apprv Base Plan List'!G6,'2006 Apprv Base Plan List'!G7,'2006 Apprv Base Plan List'!G8,'2006 Apprv Base Plan List'!G10)</f>
        <v>9</v>
      </c>
      <c r="D4" s="163">
        <f>COUNT('2007 Q1 Project List'!F13)+COUNT('2006 Apprv Base Plan List'!G9)</f>
        <v>2</v>
      </c>
      <c r="E4" s="164">
        <f>SUM(B4:D4)</f>
        <v>19</v>
      </c>
      <c r="F4" s="71">
        <f>COUNT('2007 Q1 Project List'!F6,'2007 Q1 Project List'!F7,'2007 Q1 Project List'!F8,'2007 Q1 Project List'!F9,'2007 Q1 Project List'!F10,'2007 Q1 Project List'!F11,'2007 Q1 Project List'!F12,'2007 Q1 Project List'!F13,'2007 Q1 Project List'!F63,'2007 Q1 Project List'!F64,'2007 Q1 Project List'!F65)+COUNT('2006 Apprv Base Plan List'!G5,'2006 Apprv Base Plan List'!G6,'2006 Apprv Base Plan List'!G7,'2006 Apprv Base Plan List'!G8,'2006 Apprv Base Plan List'!G9,'2006 Apprv Base Plan List'!G10,'2006 Apprv Base Plan List'!G11,'2006 Apprv Base Plan List'!G12)</f>
        <v>19</v>
      </c>
      <c r="G4" s="166"/>
      <c r="H4" s="168">
        <f>SUM('2007 Q1 Project List'!F6,'2007 Q1 Project List'!F7,'2007 Q1 Project List'!F12,'2007 Q1 Project List'!F63,'2007 Q1 Project List'!F64,'2007 Q1 Project List'!F65)+SUM('2006 Apprv Base Plan List'!G11,'2006 Apprv Base Plan List'!G12)</f>
        <v>595348</v>
      </c>
      <c r="I4" s="168">
        <f>SUM('2007 Q1 Project List'!F8,'2007 Q1 Project List'!F9,'2007 Q1 Project List'!F10,'2007 Q1 Project List'!F11)+SUM('2006 Apprv Base Plan List'!G5,'2006 Apprv Base Plan List'!G6,'2006 Apprv Base Plan List'!G7,'2006 Apprv Base Plan List'!G8,'2006 Apprv Base Plan List'!G10)</f>
        <v>5336000</v>
      </c>
      <c r="J4" s="168">
        <f>SUM('2007 Q1 Project List'!F13)+SUM('2006 Apprv Base Plan List'!G9)</f>
        <v>27627225</v>
      </c>
      <c r="K4" s="170">
        <f>SUM(H4:J4)</f>
        <v>33558573</v>
      </c>
      <c r="L4" s="171">
        <f>SUM('2007 Q1 Project List'!F6,'2007 Q1 Project List'!F7,'2007 Q1 Project List'!F8,'2007 Q1 Project List'!F9,'2007 Q1 Project List'!F10,'2007 Q1 Project List'!F11,'2007 Q1 Project List'!F12,'2007 Q1 Project List'!F13,'2007 Q1 Project List'!F63,'2007 Q1 Project List'!F64,'2007 Q1 Project List'!F65)+SUM('2006 Apprv Base Plan List'!G5,'2006 Apprv Base Plan List'!G6,'2006 Apprv Base Plan List'!G7,'2006 Apprv Base Plan List'!G8,'2006 Apprv Base Plan List'!G9,'2006 Apprv Base Plan List'!G10,'2006 Apprv Base Plan List'!G11,'2006 Apprv Base Plan List'!G12)</f>
        <v>33558573</v>
      </c>
      <c r="N4" s="174">
        <f>H4/1000000</f>
        <v>0.595348</v>
      </c>
      <c r="O4" s="174">
        <f>I4/1000000</f>
        <v>5.336</v>
      </c>
      <c r="P4" s="174">
        <f>J4/1000000</f>
        <v>27.627225</v>
      </c>
      <c r="Q4" s="176">
        <f>K4/1000000</f>
        <v>33.558573</v>
      </c>
    </row>
    <row r="5" spans="1:17" ht="12.75">
      <c r="A5" s="5" t="s">
        <v>8</v>
      </c>
      <c r="B5" s="163" t="s">
        <v>56</v>
      </c>
      <c r="C5" s="163" t="s">
        <v>56</v>
      </c>
      <c r="D5" s="163">
        <f>COUNT('2006 Apprv Base Plan List'!G15)</f>
        <v>1</v>
      </c>
      <c r="E5" s="164">
        <f aca="true" t="shared" si="0" ref="E5:E17">SUM(B5:D5)</f>
        <v>1</v>
      </c>
      <c r="F5" s="71">
        <f>COUNT('2006 Apprv Base Plan List'!G15)</f>
        <v>1</v>
      </c>
      <c r="G5" s="166"/>
      <c r="H5" s="169" t="s">
        <v>56</v>
      </c>
      <c r="I5" s="169" t="s">
        <v>56</v>
      </c>
      <c r="J5" s="168">
        <f>SUM('2006 Apprv Base Plan List'!G15)</f>
        <v>1800000</v>
      </c>
      <c r="K5" s="170">
        <f aca="true" t="shared" si="1" ref="K5:K16">SUM(H5:J5)</f>
        <v>1800000</v>
      </c>
      <c r="L5" s="171">
        <f>SUM('2006 Apprv Base Plan List'!G15)</f>
        <v>1800000</v>
      </c>
      <c r="N5" s="175" t="s">
        <v>56</v>
      </c>
      <c r="O5" s="175" t="s">
        <v>56</v>
      </c>
      <c r="P5" s="174">
        <f aca="true" t="shared" si="2" ref="P5:P17">J5/1000000</f>
        <v>1.8</v>
      </c>
      <c r="Q5" s="176">
        <f aca="true" t="shared" si="3" ref="Q5:Q17">K5/1000000</f>
        <v>1.8</v>
      </c>
    </row>
    <row r="6" spans="1:17" ht="12.75">
      <c r="A6" s="5" t="s">
        <v>9</v>
      </c>
      <c r="B6" s="163">
        <f>COUNT('2007 Q1 Project List'!F19)+COUNT('2006 Apprv Base Plan List'!G21,'2006 Apprv Base Plan List'!G23)</f>
        <v>3</v>
      </c>
      <c r="C6" s="163">
        <f>COUNT('2007 Q1 Project List'!F23,'2007 Q1 Project List'!F66)</f>
        <v>2</v>
      </c>
      <c r="D6" s="163">
        <f>COUNT('2007 Q1 Project List'!F20:F22)+COUNT('2006 Apprv Base Plan List'!G22,'2006 Apprv Base Plan List'!G24)</f>
        <v>5</v>
      </c>
      <c r="E6" s="164">
        <f t="shared" si="0"/>
        <v>10</v>
      </c>
      <c r="F6" s="71">
        <f>COUNT('2007 Q1 Project List'!F19,'2007 Q1 Project List'!F20,'2007 Q1 Project List'!F21,'2007 Q1 Project List'!F22,'2007 Q1 Project List'!F23,'2007 Q1 Project List'!F66)+COUNT('2006 Apprv Base Plan List'!G21,'2006 Apprv Base Plan List'!G22,'2006 Apprv Base Plan List'!G23,'2006 Apprv Base Plan List'!G24)</f>
        <v>10</v>
      </c>
      <c r="G6" s="166"/>
      <c r="H6" s="168">
        <f>SUM('2007 Q1 Project List'!F19)+SUM('2006 Apprv Base Plan List'!G21,'2006 Apprv Base Plan List'!G23)</f>
        <v>175031.22</v>
      </c>
      <c r="I6" s="168">
        <f>SUM('2007 Q1 Project List'!F23,'2007 Q1 Project List'!F66)</f>
        <v>370000</v>
      </c>
      <c r="J6" s="168">
        <f>SUM('2007 Q1 Project List'!F20,'2007 Q1 Project List'!F21,'2007 Q1 Project List'!F22)+SUM('2006 Apprv Base Plan List'!G22,'2006 Apprv Base Plan List'!G24)</f>
        <v>15223277</v>
      </c>
      <c r="K6" s="170">
        <f t="shared" si="1"/>
        <v>15768308.22</v>
      </c>
      <c r="L6" s="171">
        <f>SUM('2007 Q1 Project List'!F19,'2007 Q1 Project List'!F20,'2007 Q1 Project List'!F21,'2007 Q1 Project List'!F22,'2007 Q1 Project List'!F23,'2007 Q1 Project List'!F66)+SUM('2006 Apprv Base Plan List'!G21,'2006 Apprv Base Plan List'!G22,'2006 Apprv Base Plan List'!G23,'2006 Apprv Base Plan List'!G24)</f>
        <v>15768308.22</v>
      </c>
      <c r="N6" s="174">
        <f aca="true" t="shared" si="4" ref="N6:N17">H6/1000000</f>
        <v>0.17503122</v>
      </c>
      <c r="O6" s="174">
        <f aca="true" t="shared" si="5" ref="O6:O17">I6/1000000</f>
        <v>0.37</v>
      </c>
      <c r="P6" s="174">
        <f t="shared" si="2"/>
        <v>15.223277</v>
      </c>
      <c r="Q6" s="176">
        <f t="shared" si="3"/>
        <v>15.768308220000002</v>
      </c>
    </row>
    <row r="7" spans="1:17" ht="12.75">
      <c r="A7" s="5" t="s">
        <v>10</v>
      </c>
      <c r="B7" s="163">
        <f>COUNT('2007 Q1 Project List'!F48,'2007 Q1 Project List'!F53)</f>
        <v>2</v>
      </c>
      <c r="C7" s="163">
        <f>COUNT('2007 Q1 Project List'!F49,'2007 Q1 Project List'!F50,'2007 Q1 Project List'!F51,'2007 Q1 Project List'!F52,'2007 Q1 Project List'!F54,'2007 Q1 Project List'!F55,'2007 Q1 Project List'!F67)</f>
        <v>7</v>
      </c>
      <c r="D7" s="163">
        <f>COUNT('2007 Q1 Project List'!F56)</f>
        <v>1</v>
      </c>
      <c r="E7" s="164">
        <f t="shared" si="0"/>
        <v>10</v>
      </c>
      <c r="F7" s="71">
        <f>COUNT('2007 Q1 Project List'!F48,'2007 Q1 Project List'!F49,'2007 Q1 Project List'!F50,'2007 Q1 Project List'!F51,'2007 Q1 Project List'!F52,'2007 Q1 Project List'!F53,'2007 Q1 Project List'!F54,'2007 Q1 Project List'!F55,'2007 Q1 Project List'!F56,'2007 Q1 Project List'!F67)</f>
        <v>10</v>
      </c>
      <c r="G7" s="166"/>
      <c r="H7" s="168">
        <f>SUM('2007 Q1 Project List'!F48,'2007 Q1 Project List'!F53)</f>
        <v>190000</v>
      </c>
      <c r="I7" s="168">
        <f>SUM('2007 Q1 Project List'!F49,'2007 Q1 Project List'!F50,'2007 Q1 Project List'!F51,'2007 Q1 Project List'!F52,'2007 Q1 Project List'!F54,'2007 Q1 Project List'!F55,'2007 Q1 Project List'!F67)</f>
        <v>5480000</v>
      </c>
      <c r="J7" s="168">
        <f>SUM('2007 Q1 Project List'!F56)</f>
        <v>12000000</v>
      </c>
      <c r="K7" s="170">
        <f t="shared" si="1"/>
        <v>17670000</v>
      </c>
      <c r="L7" s="171">
        <f>SUM('2007 Q1 Project List'!F48,'2007 Q1 Project List'!F49,'2007 Q1 Project List'!F50,'2007 Q1 Project List'!F51,'2007 Q1 Project List'!F52,'2007 Q1 Project List'!F53,'2007 Q1 Project List'!F54,'2007 Q1 Project List'!F55,'2007 Q1 Project List'!F56,'2007 Q1 Project List'!F67)</f>
        <v>17670000</v>
      </c>
      <c r="N7" s="174">
        <f t="shared" si="4"/>
        <v>0.19</v>
      </c>
      <c r="O7" s="174">
        <f t="shared" si="5"/>
        <v>5.48</v>
      </c>
      <c r="P7" s="174">
        <f t="shared" si="2"/>
        <v>12</v>
      </c>
      <c r="Q7" s="176">
        <f t="shared" si="3"/>
        <v>17.67</v>
      </c>
    </row>
    <row r="8" spans="1:17" ht="12.75">
      <c r="A8" s="5" t="s">
        <v>11</v>
      </c>
      <c r="B8" s="163" t="s">
        <v>56</v>
      </c>
      <c r="C8" s="163">
        <f>COUNT('2007 Q1 Project List'!F24,'2007 Q1 Project List'!F27,'2007 Q1 Project List'!F28,'2007 Q1 Project List'!F29,'2007 Q1 Project List'!F30,'2007 Q1 Project List'!F31,'2007 Q1 Project List'!F32,'2007 Q1 Project List'!F33,'2007 Q1 Project List'!F34)+COUNT('2006 Apprv Base Plan List'!G26,'2006 Apprv Base Plan List'!G27,'2006 Apprv Base Plan List'!G28,'2006 Apprv Base Plan List'!G29,'2006 Apprv Base Plan List'!G30,'2006 Apprv Base Plan List'!G31)</f>
        <v>15</v>
      </c>
      <c r="D8" s="163">
        <f>COUNT('2007 Q1 Project List'!F25,'2007 Q1 Project List'!F26)</f>
        <v>2</v>
      </c>
      <c r="E8" s="164">
        <f t="shared" si="0"/>
        <v>17</v>
      </c>
      <c r="F8" s="71">
        <f>COUNT('2007 Q1 Project List'!F24,'2007 Q1 Project List'!F25,'2007 Q1 Project List'!F26,'2007 Q1 Project List'!F27,'2007 Q1 Project List'!F28,'2007 Q1 Project List'!F29,'2007 Q1 Project List'!F30,'2007 Q1 Project List'!F31,'2007 Q1 Project List'!F32,'2007 Q1 Project List'!F33,'2007 Q1 Project List'!F34)+COUNT('2006 Apprv Base Plan List'!G26,'2006 Apprv Base Plan List'!G27,'2006 Apprv Base Plan List'!G28,'2006 Apprv Base Plan List'!G29,'2006 Apprv Base Plan List'!G30,'2006 Apprv Base Plan List'!G31)</f>
        <v>17</v>
      </c>
      <c r="G8" s="166"/>
      <c r="H8" s="169" t="s">
        <v>56</v>
      </c>
      <c r="I8" s="168">
        <f>SUM('2007 Q1 Project List'!F24,'2007 Q1 Project List'!F27,'2007 Q1 Project List'!F28,'2007 Q1 Project List'!F29,'2007 Q1 Project List'!F30,'2007 Q1 Project List'!F31,'2007 Q1 Project List'!F32,'2007 Q1 Project List'!F33,'2007 Q1 Project List'!F34)+SUM('2006 Apprv Base Plan List'!G26,'2006 Apprv Base Plan List'!G27,'2006 Apprv Base Plan List'!G28,'2006 Apprv Base Plan List'!G29,'2006 Apprv Base Plan List'!G30,'2006 Apprv Base Plan List'!G31)</f>
        <v>33225000</v>
      </c>
      <c r="J8" s="168">
        <f>SUM('2007 Q1 Project List'!F25,'2007 Q1 Project List'!F26)</f>
        <v>2000000</v>
      </c>
      <c r="K8" s="170">
        <f t="shared" si="1"/>
        <v>35225000</v>
      </c>
      <c r="L8" s="171">
        <f>SUM('2007 Q1 Project List'!F24,'2007 Q1 Project List'!F25,'2007 Q1 Project List'!F26,'2007 Q1 Project List'!F27,'2007 Q1 Project List'!F28,'2007 Q1 Project List'!F29,'2007 Q1 Project List'!F30,'2007 Q1 Project List'!F31,'2007 Q1 Project List'!F32,'2007 Q1 Project List'!F33,'2007 Q1 Project List'!F34)+SUM('2006 Apprv Base Plan List'!G26,'2006 Apprv Base Plan List'!G27,'2006 Apprv Base Plan List'!G28,'2006 Apprv Base Plan List'!G29,'2006 Apprv Base Plan List'!G30,'2006 Apprv Base Plan List'!G31)</f>
        <v>35225000</v>
      </c>
      <c r="N8" s="175" t="s">
        <v>56</v>
      </c>
      <c r="O8" s="174">
        <f t="shared" si="5"/>
        <v>33.225</v>
      </c>
      <c r="P8" s="174">
        <f t="shared" si="2"/>
        <v>2</v>
      </c>
      <c r="Q8" s="176">
        <f t="shared" si="3"/>
        <v>35.225</v>
      </c>
    </row>
    <row r="9" spans="1:17" ht="12.75">
      <c r="A9" s="5" t="s">
        <v>12</v>
      </c>
      <c r="B9" s="163" t="s">
        <v>56</v>
      </c>
      <c r="C9" s="163">
        <f>COUNT('2007 Q1 Project List'!F16)</f>
        <v>1</v>
      </c>
      <c r="D9" s="163" t="s">
        <v>56</v>
      </c>
      <c r="E9" s="164">
        <f t="shared" si="0"/>
        <v>1</v>
      </c>
      <c r="F9" s="71">
        <f>COUNT('2007 Q1 Project List'!F16)</f>
        <v>1</v>
      </c>
      <c r="G9" s="166"/>
      <c r="H9" s="169" t="s">
        <v>56</v>
      </c>
      <c r="I9" s="168">
        <f>SUM('2007 Q1 Project List'!F16)</f>
        <v>536000</v>
      </c>
      <c r="J9" s="169" t="s">
        <v>56</v>
      </c>
      <c r="K9" s="170">
        <f t="shared" si="1"/>
        <v>536000</v>
      </c>
      <c r="L9" s="171">
        <f>SUM('2007 Q1 Project List'!F16)</f>
        <v>536000</v>
      </c>
      <c r="N9" s="175" t="s">
        <v>56</v>
      </c>
      <c r="O9" s="174">
        <f t="shared" si="5"/>
        <v>0.536</v>
      </c>
      <c r="P9" s="175" t="s">
        <v>56</v>
      </c>
      <c r="Q9" s="176">
        <f t="shared" si="3"/>
        <v>0.536</v>
      </c>
    </row>
    <row r="10" spans="1:17" ht="12.75">
      <c r="A10" s="5" t="s">
        <v>13</v>
      </c>
      <c r="B10" s="163" t="s">
        <v>56</v>
      </c>
      <c r="C10" s="163" t="s">
        <v>56</v>
      </c>
      <c r="D10" s="163" t="s">
        <v>56</v>
      </c>
      <c r="E10" s="164">
        <f t="shared" si="0"/>
        <v>0</v>
      </c>
      <c r="F10" s="71">
        <v>0</v>
      </c>
      <c r="G10" s="166"/>
      <c r="H10" s="169" t="s">
        <v>56</v>
      </c>
      <c r="I10" s="169" t="s">
        <v>56</v>
      </c>
      <c r="J10" s="169" t="s">
        <v>56</v>
      </c>
      <c r="K10" s="170">
        <f t="shared" si="1"/>
        <v>0</v>
      </c>
      <c r="L10" s="172" t="s">
        <v>56</v>
      </c>
      <c r="N10" s="175" t="s">
        <v>56</v>
      </c>
      <c r="O10" s="175" t="s">
        <v>56</v>
      </c>
      <c r="P10" s="175" t="s">
        <v>56</v>
      </c>
      <c r="Q10" s="176">
        <f t="shared" si="3"/>
        <v>0</v>
      </c>
    </row>
    <row r="11" spans="1:17" ht="12.75">
      <c r="A11" s="5" t="s">
        <v>14</v>
      </c>
      <c r="B11" s="163">
        <f>COUNT('2006 Apprv Base Plan List'!G33)</f>
        <v>1</v>
      </c>
      <c r="C11" s="163">
        <f>COUNT('2007 Q1 Project List'!F36,'2007 Q1 Project List'!F37,'2007 Q1 Project List'!F38,'2007 Q1 Project List'!F40,'2007 Q1 Project List'!F41,'2007 Q1 Project List'!F42,'2007 Q1 Project List'!F43,'2007 Q1 Project List'!F45,'2007 Q1 Project List'!F47)+COUNT('2006 Apprv Base Plan List'!G32,'2006 Apprv Base Plan List'!G36,'2006 Apprv Base Plan List'!G37,'2006 Apprv Base Plan List'!G38,'2006 Apprv Base Plan List'!G39,'2006 Apprv Base Plan List'!G40,'2006 Apprv Base Plan List'!G41)</f>
        <v>16</v>
      </c>
      <c r="D11" s="163">
        <f>COUNT('2007 Q1 Project List'!F44,'2007 Q1 Project List'!F46,'2007 Q1 Project List'!F39)+COUNT('2006 Apprv Base Plan List'!G34,'2006 Apprv Base Plan List'!G35)</f>
        <v>5</v>
      </c>
      <c r="E11" s="164">
        <f t="shared" si="0"/>
        <v>22</v>
      </c>
      <c r="F11" s="71">
        <f>COUNT('2007 Q1 Project List'!F36,'2007 Q1 Project List'!F37,'2007 Q1 Project List'!F38,'2007 Q1 Project List'!F39,'2007 Q1 Project List'!F40,'2007 Q1 Project List'!F41,'2007 Q1 Project List'!F42,'2007 Q1 Project List'!F43,'2007 Q1 Project List'!F44,'2007 Q1 Project List'!F45,'2007 Q1 Project List'!F46,'2007 Q1 Project List'!F47)+COUNT('2006 Apprv Base Plan List'!G32,'2006 Apprv Base Plan List'!G33,'2006 Apprv Base Plan List'!G34,'2006 Apprv Base Plan List'!G35,'2006 Apprv Base Plan List'!G36,'2006 Apprv Base Plan List'!G37,'2006 Apprv Base Plan List'!G38,'2006 Apprv Base Plan List'!G39,'2006 Apprv Base Plan List'!G40,'2006 Apprv Base Plan List'!G41)</f>
        <v>22</v>
      </c>
      <c r="G11" s="166"/>
      <c r="H11" s="168">
        <f>SUM('2006 Apprv Base Plan List'!G33)</f>
        <v>35000</v>
      </c>
      <c r="I11" s="168">
        <f>SUM('2007 Q1 Project List'!F36,'2007 Q1 Project List'!F37,'2007 Q1 Project List'!F38,'2007 Q1 Project List'!F40,'2007 Q1 Project List'!F41,'2007 Q1 Project List'!F42,'2007 Q1 Project List'!F43,'2007 Q1 Project List'!F45,'2007 Q1 Project List'!F47)+SUM('2006 Apprv Base Plan List'!G32,'2006 Apprv Base Plan List'!G36,'2006 Apprv Base Plan List'!G37,'2006 Apprv Base Plan List'!G38,'2006 Apprv Base Plan List'!G39,'2006 Apprv Base Plan List'!G40,'2006 Apprv Base Plan List'!G41)</f>
        <v>13387000</v>
      </c>
      <c r="J11" s="168">
        <f>SUM('2007 Q1 Project List'!F39,'2007 Q1 Project List'!F44,'2007 Q1 Project List'!F46)+SUM('2006 Apprv Base Plan List'!G34,'2006 Apprv Base Plan List'!G35)</f>
        <v>15584000</v>
      </c>
      <c r="K11" s="170">
        <f t="shared" si="1"/>
        <v>29006000</v>
      </c>
      <c r="L11" s="171">
        <f>SUM('2007 Q1 Project List'!F36,'2007 Q1 Project List'!F37,'2007 Q1 Project List'!F38,'2007 Q1 Project List'!F39,'2007 Q1 Project List'!F40,'2007 Q1 Project List'!F41,'2007 Q1 Project List'!F42,'2007 Q1 Project List'!F43,'2007 Q1 Project List'!F44,'2007 Q1 Project List'!F45,'2007 Q1 Project List'!F46,'2007 Q1 Project List'!F47)+SUM('2006 Apprv Base Plan List'!G32,'2006 Apprv Base Plan List'!G33,'2006 Apprv Base Plan List'!G34,'2006 Apprv Base Plan List'!G35,'2006 Apprv Base Plan List'!G36,'2006 Apprv Base Plan List'!G37,'2006 Apprv Base Plan List'!G38,'2006 Apprv Base Plan List'!G39,'2006 Apprv Base Plan List'!G40,'2006 Apprv Base Plan List'!G41)</f>
        <v>29006000</v>
      </c>
      <c r="N11" s="174">
        <f t="shared" si="4"/>
        <v>0.035</v>
      </c>
      <c r="O11" s="174">
        <f t="shared" si="5"/>
        <v>13.387</v>
      </c>
      <c r="P11" s="174">
        <f t="shared" si="2"/>
        <v>15.584</v>
      </c>
      <c r="Q11" s="176">
        <f t="shared" si="3"/>
        <v>29.006</v>
      </c>
    </row>
    <row r="12" spans="1:17" ht="12.75">
      <c r="A12" s="5" t="s">
        <v>15</v>
      </c>
      <c r="B12" s="163" t="s">
        <v>56</v>
      </c>
      <c r="C12" s="163">
        <f>COUNT('2007 Q1 Project List'!F35)</f>
        <v>1</v>
      </c>
      <c r="D12" s="163" t="s">
        <v>56</v>
      </c>
      <c r="E12" s="164">
        <f t="shared" si="0"/>
        <v>1</v>
      </c>
      <c r="F12" s="71">
        <f>COUNT('2007 Q1 Project List'!F35)</f>
        <v>1</v>
      </c>
      <c r="G12" s="166"/>
      <c r="H12" s="169" t="s">
        <v>56</v>
      </c>
      <c r="I12" s="168">
        <f>SUM('2007 Q1 Project List'!F35)</f>
        <v>148000</v>
      </c>
      <c r="J12" s="169" t="s">
        <v>56</v>
      </c>
      <c r="K12" s="170">
        <f t="shared" si="1"/>
        <v>148000</v>
      </c>
      <c r="L12" s="171">
        <f>SUM('2007 Q1 Project List'!F35)</f>
        <v>148000</v>
      </c>
      <c r="N12" s="175" t="s">
        <v>56</v>
      </c>
      <c r="O12" s="174">
        <f t="shared" si="5"/>
        <v>0.148</v>
      </c>
      <c r="P12" s="175" t="s">
        <v>56</v>
      </c>
      <c r="Q12" s="176">
        <f t="shared" si="3"/>
        <v>0.148</v>
      </c>
    </row>
    <row r="13" spans="1:17" ht="12.75">
      <c r="A13" s="5" t="s">
        <v>16</v>
      </c>
      <c r="B13" s="163">
        <f>COUNT('2006 Apprv Base Plan List'!G19)</f>
        <v>1</v>
      </c>
      <c r="C13" s="163">
        <f>COUNT('2007 Q1 Project List'!F17,'2007 Q1 Project List'!F18)</f>
        <v>2</v>
      </c>
      <c r="D13" s="163">
        <f>COUNT('2006 Apprv Base Plan List'!G20)</f>
        <v>1</v>
      </c>
      <c r="E13" s="164">
        <f t="shared" si="0"/>
        <v>4</v>
      </c>
      <c r="F13" s="71">
        <f>COUNT('2007 Q1 Project List'!F17,'2007 Q1 Project List'!F18)+COUNT('2006 Apprv Base Plan List'!G19,'2006 Apprv Base Plan List'!G20)</f>
        <v>4</v>
      </c>
      <c r="G13" s="166"/>
      <c r="H13" s="168">
        <f>SUM('2006 Apprv Base Plan List'!G19)</f>
        <v>75000</v>
      </c>
      <c r="I13" s="168">
        <f>SUM('2007 Q1 Project List'!F17,'2007 Q1 Project List'!F18)</f>
        <v>1855500</v>
      </c>
      <c r="J13" s="168">
        <f>SUM('2006 Apprv Base Plan List'!G20)</f>
        <v>536000</v>
      </c>
      <c r="K13" s="170">
        <f t="shared" si="1"/>
        <v>2466500</v>
      </c>
      <c r="L13" s="171">
        <f>SUM('2007 Q1 Project List'!F17,'2007 Q1 Project List'!F18)+SUM('2006 Apprv Base Plan List'!G19,'2006 Apprv Base Plan List'!G20)</f>
        <v>2466500</v>
      </c>
      <c r="N13" s="174">
        <f t="shared" si="4"/>
        <v>0.075</v>
      </c>
      <c r="O13" s="174">
        <f t="shared" si="5"/>
        <v>1.8555</v>
      </c>
      <c r="P13" s="174">
        <f t="shared" si="2"/>
        <v>0.536</v>
      </c>
      <c r="Q13" s="176">
        <f t="shared" si="3"/>
        <v>2.4665</v>
      </c>
    </row>
    <row r="14" spans="1:17" ht="12.75">
      <c r="A14" s="5" t="s">
        <v>17</v>
      </c>
      <c r="B14" s="163" t="s">
        <v>56</v>
      </c>
      <c r="C14" s="163">
        <f>COUNT('2006 Apprv Base Plan List'!G16,'2006 Apprv Base Plan List'!G17,'2006 Apprv Base Plan List'!G18)</f>
        <v>3</v>
      </c>
      <c r="D14" s="163" t="s">
        <v>56</v>
      </c>
      <c r="E14" s="164">
        <f t="shared" si="0"/>
        <v>3</v>
      </c>
      <c r="F14" s="71">
        <f>COUNT('2006 Apprv Base Plan List'!G16,'2006 Apprv Base Plan List'!G17,'2006 Apprv Base Plan List'!G18)</f>
        <v>3</v>
      </c>
      <c r="G14" s="166"/>
      <c r="H14" s="169" t="s">
        <v>56</v>
      </c>
      <c r="I14" s="168">
        <f>SUM('2006 Apprv Base Plan List'!G16,'2006 Apprv Base Plan List'!G17,'2006 Apprv Base Plan List'!G18)</f>
        <v>2032200</v>
      </c>
      <c r="J14" s="169" t="s">
        <v>56</v>
      </c>
      <c r="K14" s="170">
        <f t="shared" si="1"/>
        <v>2032200</v>
      </c>
      <c r="L14" s="171">
        <f>SUM('2006 Apprv Base Plan List'!G16,'2006 Apprv Base Plan List'!G17,'2006 Apprv Base Plan List'!G18)</f>
        <v>2032200</v>
      </c>
      <c r="N14" s="175" t="s">
        <v>56</v>
      </c>
      <c r="O14" s="174">
        <f t="shared" si="5"/>
        <v>2.0322</v>
      </c>
      <c r="P14" s="175" t="s">
        <v>56</v>
      </c>
      <c r="Q14" s="176">
        <f t="shared" si="3"/>
        <v>2.0322</v>
      </c>
    </row>
    <row r="15" spans="1:17" ht="12.75">
      <c r="A15" s="5" t="s">
        <v>18</v>
      </c>
      <c r="B15" s="163">
        <f>COUNT('2007 Q1 Project List'!F15)</f>
        <v>1</v>
      </c>
      <c r="C15" s="163" t="s">
        <v>56</v>
      </c>
      <c r="D15" s="163">
        <f>COUNT('2007 Q1 Project List'!F14)+COUNT('2006 Apprv Base Plan List'!G14)</f>
        <v>2</v>
      </c>
      <c r="E15" s="164">
        <f t="shared" si="0"/>
        <v>3</v>
      </c>
      <c r="F15" s="71">
        <f>COUNT('2007 Q1 Project List'!F14,'2007 Q1 Project List'!F59,'2007 Q1 Project List'!F59,'2007 Q1 Project List'!F15)+COUNT('2006 Apprv Base Plan List'!G14)</f>
        <v>3</v>
      </c>
      <c r="G15" s="166"/>
      <c r="H15" s="168">
        <f>SUM('2007 Q1 Project List'!F15)</f>
        <v>20000</v>
      </c>
      <c r="I15" s="169" t="s">
        <v>56</v>
      </c>
      <c r="J15" s="168">
        <f>SUM('2007 Q1 Project List'!F14)+SUM('2006 Apprv Base Plan List'!G14)</f>
        <v>17272000</v>
      </c>
      <c r="K15" s="170">
        <f t="shared" si="1"/>
        <v>17292000</v>
      </c>
      <c r="L15" s="171">
        <f>SUM('2007 Q1 Project List'!F14,'2007 Q1 Project List'!F15)+SUM('2006 Apprv Base Plan List'!G14)</f>
        <v>17292000</v>
      </c>
      <c r="N15" s="174">
        <f t="shared" si="4"/>
        <v>0.02</v>
      </c>
      <c r="O15" s="175" t="s">
        <v>56</v>
      </c>
      <c r="P15" s="174">
        <f t="shared" si="2"/>
        <v>17.272</v>
      </c>
      <c r="Q15" s="176">
        <f t="shared" si="3"/>
        <v>17.292</v>
      </c>
    </row>
    <row r="16" spans="1:17" ht="12.75">
      <c r="A16" s="5" t="s">
        <v>19</v>
      </c>
      <c r="B16" s="163" t="s">
        <v>56</v>
      </c>
      <c r="C16" s="163" t="s">
        <v>56</v>
      </c>
      <c r="D16" s="163" t="s">
        <v>56</v>
      </c>
      <c r="E16" s="164">
        <f t="shared" si="0"/>
        <v>0</v>
      </c>
      <c r="F16" s="71">
        <v>0</v>
      </c>
      <c r="G16" s="166"/>
      <c r="H16" s="169" t="s">
        <v>56</v>
      </c>
      <c r="I16" s="169" t="s">
        <v>56</v>
      </c>
      <c r="J16" s="169" t="s">
        <v>56</v>
      </c>
      <c r="K16" s="170">
        <f t="shared" si="1"/>
        <v>0</v>
      </c>
      <c r="L16" s="172" t="s">
        <v>56</v>
      </c>
      <c r="N16" s="175" t="s">
        <v>56</v>
      </c>
      <c r="O16" s="175" t="s">
        <v>56</v>
      </c>
      <c r="P16" s="175" t="s">
        <v>56</v>
      </c>
      <c r="Q16" s="176">
        <f t="shared" si="3"/>
        <v>0</v>
      </c>
    </row>
    <row r="17" spans="1:17" ht="12.75">
      <c r="A17" s="2" t="s">
        <v>20</v>
      </c>
      <c r="B17" s="163">
        <f>SUM(B4:B16)</f>
        <v>16</v>
      </c>
      <c r="C17" s="163">
        <f>SUM(C4:C16)</f>
        <v>56</v>
      </c>
      <c r="D17" s="163">
        <f>SUM(D4:D16)</f>
        <v>19</v>
      </c>
      <c r="E17" s="164">
        <f t="shared" si="0"/>
        <v>91</v>
      </c>
      <c r="G17" s="167"/>
      <c r="H17" s="168">
        <f>SUM(H4:H16)</f>
        <v>1090379.22</v>
      </c>
      <c r="I17" s="168">
        <f>SUM(I4:I16)</f>
        <v>62369700</v>
      </c>
      <c r="J17" s="168">
        <f>SUM(J4:J16)</f>
        <v>92042502</v>
      </c>
      <c r="K17" s="170">
        <f>SUM(K4:K16)</f>
        <v>155502581.22</v>
      </c>
      <c r="L17" s="171"/>
      <c r="N17" s="176">
        <f t="shared" si="4"/>
        <v>1.09037922</v>
      </c>
      <c r="O17" s="176">
        <f t="shared" si="5"/>
        <v>62.3697</v>
      </c>
      <c r="P17" s="176">
        <f t="shared" si="2"/>
        <v>92.042502</v>
      </c>
      <c r="Q17" s="176">
        <f t="shared" si="3"/>
        <v>155.50258122</v>
      </c>
    </row>
    <row r="19" spans="4:12" ht="12.75" hidden="1">
      <c r="D19" t="s">
        <v>444</v>
      </c>
      <c r="E19" s="11">
        <f>COUNT('2007 Q1 Project List'!F6:F56,'2007 Q1 Project List'!F63:F67)+COUNT('2006 Apprv Base Plan List'!G5:G12,'2006 Apprv Base Plan List'!G14:G24,'2006 Apprv Base Plan List'!G26:G41)</f>
        <v>91</v>
      </c>
      <c r="F19" s="71">
        <f>SUM(F4:F17)</f>
        <v>91</v>
      </c>
      <c r="L19" s="171">
        <f>SUM('2007 Q1 Project List'!F6:F56,'2007 Q1 Project List'!F63:F67)+SUM('2006 Apprv Base Plan List'!G5:G12,'2006 Apprv Base Plan List'!G14:G24,'2006 Apprv Base Plan List'!G26:G41)</f>
        <v>155502581.22</v>
      </c>
    </row>
  </sheetData>
  <mergeCells count="3">
    <mergeCell ref="B2:E2"/>
    <mergeCell ref="H2:K2"/>
    <mergeCell ref="N2:Q2"/>
  </mergeCells>
  <printOptions/>
  <pageMargins left="0.75" right="0.75" top="1" bottom="1" header="0.5" footer="0.5"/>
  <pageSetup horizontalDpi="600" verticalDpi="600" orientation="portrait" r:id="rId1"/>
  <ignoredErrors>
    <ignoredError sqref="E5" formula="1"/>
    <ignoredError sqref="D6" formulaRange="1"/>
  </ignoredErrors>
</worksheet>
</file>

<file path=xl/worksheets/sheet3.xml><?xml version="1.0" encoding="utf-8"?>
<worksheet xmlns="http://schemas.openxmlformats.org/spreadsheetml/2006/main" xmlns:r="http://schemas.openxmlformats.org/officeDocument/2006/relationships">
  <sheetPr>
    <tabColor indexed="42"/>
  </sheetPr>
  <dimension ref="A1:D17"/>
  <sheetViews>
    <sheetView showGridLines="0" zoomScale="130" zoomScaleNormal="130" workbookViewId="0" topLeftCell="A1">
      <selection activeCell="B10" sqref="B10"/>
    </sheetView>
  </sheetViews>
  <sheetFormatPr defaultColWidth="9.140625" defaultRowHeight="12.75"/>
  <cols>
    <col min="1" max="1" width="12.140625" style="0" bestFit="1" customWidth="1"/>
    <col min="2" max="4" width="13.421875" style="0" customWidth="1"/>
  </cols>
  <sheetData>
    <row r="1" spans="2:4" ht="23.25">
      <c r="B1" s="179">
        <v>2006</v>
      </c>
      <c r="C1" s="179">
        <v>2007</v>
      </c>
      <c r="D1" s="179">
        <v>2008</v>
      </c>
    </row>
    <row r="2" spans="2:4" ht="25.5">
      <c r="B2" s="178" t="s">
        <v>452</v>
      </c>
      <c r="C2" s="178" t="s">
        <v>452</v>
      </c>
      <c r="D2" s="178" t="s">
        <v>452</v>
      </c>
    </row>
    <row r="3" spans="1:4" ht="12.75">
      <c r="A3" s="120" t="s">
        <v>1</v>
      </c>
      <c r="B3" s="182" t="s">
        <v>450</v>
      </c>
      <c r="C3" s="182" t="s">
        <v>450</v>
      </c>
      <c r="D3" s="182" t="s">
        <v>450</v>
      </c>
    </row>
    <row r="4" spans="1:4" ht="12.75">
      <c r="A4" s="5" t="s">
        <v>7</v>
      </c>
      <c r="B4" s="180">
        <f>SUM('100% Zonal'!C10+'No MW-mi Allocations'!BN10+'MW-mi Allocations'!AD10)</f>
        <v>412504.57</v>
      </c>
      <c r="C4" s="180">
        <f>SUM('100% Zonal'!C33+'No MW-mi Allocations'!BN33+'MW-mi Allocations'!AD33)</f>
        <v>1498747.0899250002</v>
      </c>
      <c r="D4" s="180">
        <f>SUM('100% Zonal'!C56+'No MW-mi Allocations'!BN56+'MW-mi Allocations'!AD56)</f>
        <v>4133754.7702840003</v>
      </c>
    </row>
    <row r="5" spans="1:4" ht="12.75">
      <c r="A5" s="5" t="s">
        <v>8</v>
      </c>
      <c r="B5" s="180">
        <f>SUM('100% Zonal'!C11+'No MW-mi Allocations'!BN11+'MW-mi Allocations'!AD11)</f>
        <v>0</v>
      </c>
      <c r="C5" s="180">
        <f>SUM('100% Zonal'!C34+'No MW-mi Allocations'!BN34+'MW-mi Allocations'!AD34)</f>
        <v>342779.39999999997</v>
      </c>
      <c r="D5" s="180">
        <f>SUM('100% Zonal'!C57+'No MW-mi Allocations'!BN57+'MW-mi Allocations'!AD57)</f>
        <v>0</v>
      </c>
    </row>
    <row r="6" spans="1:4" ht="12.75">
      <c r="A6" s="5" t="s">
        <v>9</v>
      </c>
      <c r="B6" s="180">
        <f>SUM('100% Zonal'!C12+'No MW-mi Allocations'!BN12+'MW-mi Allocations'!AD12)</f>
        <v>2167891.9313412597</v>
      </c>
      <c r="C6" s="180">
        <f>SUM('100% Zonal'!C35+'No MW-mi Allocations'!BN35+'MW-mi Allocations'!AD35)</f>
        <v>849425.3999999999</v>
      </c>
      <c r="D6" s="180">
        <f>SUM('100% Zonal'!C58+'No MW-mi Allocations'!BN58+'MW-mi Allocations'!AD58)</f>
        <v>451536.66</v>
      </c>
    </row>
    <row r="7" spans="1:4" ht="12.75">
      <c r="A7" s="5" t="s">
        <v>10</v>
      </c>
      <c r="B7" s="180">
        <f>SUM('100% Zonal'!C13+'No MW-mi Allocations'!BN13+'MW-mi Allocations'!AD13)</f>
        <v>16418.97</v>
      </c>
      <c r="C7" s="180">
        <f>SUM('100% Zonal'!C36+'No MW-mi Allocations'!BN36+'MW-mi Allocations'!AD36)</f>
        <v>881151.3900000001</v>
      </c>
      <c r="D7" s="180">
        <f>SUM('100% Zonal'!C59+'No MW-mi Allocations'!BN59+'MW-mi Allocations'!AD59)</f>
        <v>2326020.75</v>
      </c>
    </row>
    <row r="8" spans="1:4" ht="12.75">
      <c r="A8" s="5" t="s">
        <v>11</v>
      </c>
      <c r="B8" s="180">
        <f>SUM('100% Zonal'!C14+'No MW-mi Allocations'!BN14+'MW-mi Allocations'!AD14)</f>
        <v>2284176.275</v>
      </c>
      <c r="C8" s="180">
        <f>SUM('100% Zonal'!C37+'No MW-mi Allocations'!BN37+'MW-mi Allocations'!AD37)</f>
        <v>1837362.9999999998</v>
      </c>
      <c r="D8" s="180">
        <f>SUM('100% Zonal'!C60+'No MW-mi Allocations'!BN60+'MW-mi Allocations'!AD60)</f>
        <v>1762198.15</v>
      </c>
    </row>
    <row r="9" spans="1:4" ht="12.75">
      <c r="A9" s="5" t="s">
        <v>12</v>
      </c>
      <c r="B9" s="180">
        <f>SUM('100% Zonal'!C15+'No MW-mi Allocations'!BN15+'MW-mi Allocations'!AD15)</f>
        <v>0</v>
      </c>
      <c r="C9" s="180">
        <f>SUM('100% Zonal'!C38+'No MW-mi Allocations'!BN38+'MW-mi Allocations'!AD38)</f>
        <v>0</v>
      </c>
      <c r="D9" s="180">
        <f>SUM('100% Zonal'!C61+'No MW-mi Allocations'!BN61+'MW-mi Allocations'!AD61)</f>
        <v>77630.488</v>
      </c>
    </row>
    <row r="10" spans="1:4" ht="12.75">
      <c r="A10" s="5" t="s">
        <v>13</v>
      </c>
      <c r="B10" s="180">
        <f>SUM('100% Zonal'!C16+'No MW-mi Allocations'!BN16+'MW-mi Allocations'!AD16)</f>
        <v>0</v>
      </c>
      <c r="C10" s="180">
        <f>SUM('100% Zonal'!C39+'No MW-mi Allocations'!BN39+'MW-mi Allocations'!AD39)</f>
        <v>0</v>
      </c>
      <c r="D10" s="180">
        <f>SUM('100% Zonal'!C62+'No MW-mi Allocations'!BN62+'MW-mi Allocations'!AD62)</f>
        <v>0</v>
      </c>
    </row>
    <row r="11" spans="1:4" ht="12.75">
      <c r="A11" s="5" t="s">
        <v>14</v>
      </c>
      <c r="B11" s="180">
        <f>SUM('100% Zonal'!C17+'No MW-mi Allocations'!BN17+'MW-mi Allocations'!AD17)</f>
        <v>2827188.6720000003</v>
      </c>
      <c r="C11" s="180">
        <f>SUM('100% Zonal'!C40+'No MW-mi Allocations'!BN40+'MW-mi Allocations'!AD40)</f>
        <v>2033189.2560000003</v>
      </c>
      <c r="D11" s="180">
        <f>SUM('100% Zonal'!C63+'No MW-mi Allocations'!BN63+'MW-mi Allocations'!AD63)</f>
        <v>686526.47</v>
      </c>
    </row>
    <row r="12" spans="1:4" ht="12.75">
      <c r="A12" s="5" t="s">
        <v>15</v>
      </c>
      <c r="B12" s="180">
        <f>SUM('100% Zonal'!C18+'No MW-mi Allocations'!BN18+'MW-mi Allocations'!AD18)</f>
        <v>0</v>
      </c>
      <c r="C12" s="180">
        <f>SUM('100% Zonal'!C41+'No MW-mi Allocations'!BN41+'MW-mi Allocations'!AD41)</f>
        <v>28302.484</v>
      </c>
      <c r="D12" s="180">
        <f>SUM('100% Zonal'!C64+'No MW-mi Allocations'!BN64+'MW-mi Allocations'!AD64)</f>
        <v>0</v>
      </c>
    </row>
    <row r="13" spans="1:4" ht="12.75">
      <c r="A13" s="5" t="s">
        <v>16</v>
      </c>
      <c r="B13" s="180">
        <f>SUM('100% Zonal'!C19+'No MW-mi Allocations'!BN19+'MW-mi Allocations'!AD19)</f>
        <v>106822.96299999997</v>
      </c>
      <c r="C13" s="180">
        <f>SUM('100% Zonal'!C42+'No MW-mi Allocations'!BN42+'MW-mi Allocations'!AD42)</f>
        <v>43708.24999999999</v>
      </c>
      <c r="D13" s="180">
        <f>SUM('100% Zonal'!C65+'No MW-mi Allocations'!BN65+'MW-mi Allocations'!AD65)</f>
        <v>280694.38149999996</v>
      </c>
    </row>
    <row r="14" spans="1:4" ht="12.75">
      <c r="A14" s="5" t="s">
        <v>17</v>
      </c>
      <c r="B14" s="180">
        <f>SUM('100% Zonal'!C20+'No MW-mi Allocations'!BN20+'MW-mi Allocations'!AD20)</f>
        <v>117789.52380000001</v>
      </c>
      <c r="C14" s="180">
        <f>SUM('100% Zonal'!C43+'No MW-mi Allocations'!BN43+'MW-mi Allocations'!AD43)</f>
        <v>335051.6988</v>
      </c>
      <c r="D14" s="180">
        <f>SUM('100% Zonal'!C66+'No MW-mi Allocations'!BN66+'MW-mi Allocations'!AD66)</f>
        <v>0</v>
      </c>
    </row>
    <row r="15" spans="1:4" ht="12.75">
      <c r="A15" s="5" t="s">
        <v>18</v>
      </c>
      <c r="B15" s="180">
        <f>SUM('100% Zonal'!C21+'No MW-mi Allocations'!BN21+'MW-mi Allocations'!AD21)</f>
        <v>0</v>
      </c>
      <c r="C15" s="180">
        <f>SUM('100% Zonal'!C44+'No MW-mi Allocations'!BN44+'MW-mi Allocations'!AD44)</f>
        <v>588451.095</v>
      </c>
      <c r="D15" s="180">
        <f>SUM('100% Zonal'!C67+'No MW-mi Allocations'!BN67+'MW-mi Allocations'!AD67)</f>
        <v>2576555.541</v>
      </c>
    </row>
    <row r="16" spans="1:4" ht="12.75">
      <c r="A16" s="5" t="s">
        <v>19</v>
      </c>
      <c r="B16" s="180">
        <f>SUM('100% Zonal'!C22+'No MW-mi Allocations'!BN22+'MW-mi Allocations'!AD22)</f>
        <v>0</v>
      </c>
      <c r="C16" s="180">
        <f>SUM('100% Zonal'!C45+'No MW-mi Allocations'!BN45+'MW-mi Allocations'!AD45)</f>
        <v>0</v>
      </c>
      <c r="D16" s="180">
        <f>SUM('100% Zonal'!C68+'No MW-mi Allocations'!BN68+'MW-mi Allocations'!AD68)</f>
        <v>0</v>
      </c>
    </row>
    <row r="17" spans="1:4" ht="12.75">
      <c r="A17" s="2" t="s">
        <v>20</v>
      </c>
      <c r="B17" s="181">
        <f>SUM(B4:B16)</f>
        <v>7932792.90514126</v>
      </c>
      <c r="C17" s="181">
        <f>SUM(C4:C16)</f>
        <v>8438169.063725</v>
      </c>
      <c r="D17" s="181">
        <f>SUM(D4:D16)</f>
        <v>12294917.210784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5"/>
  </sheetPr>
  <dimension ref="A1:M70"/>
  <sheetViews>
    <sheetView showGridLines="0" zoomScale="85" zoomScaleNormal="85" workbookViewId="0" topLeftCell="A1">
      <pane xSplit="1" topLeftCell="B1" activePane="topRight" state="frozen"/>
      <selection pane="topLeft" activeCell="A1" sqref="A1"/>
      <selection pane="topRight" activeCell="B1" sqref="B1"/>
    </sheetView>
  </sheetViews>
  <sheetFormatPr defaultColWidth="9.140625" defaultRowHeight="12.75"/>
  <cols>
    <col min="2" max="2" width="4.7109375" style="14" customWidth="1"/>
    <col min="3" max="3" width="14.57421875" style="14" customWidth="1"/>
    <col min="4" max="4" width="4.8515625" style="0" customWidth="1"/>
    <col min="5" max="5" width="9.00390625" style="0" bestFit="1" customWidth="1"/>
    <col min="6" max="6" width="16.00390625" style="0" customWidth="1"/>
    <col min="7" max="16384" width="17.57421875" style="0" customWidth="1"/>
  </cols>
  <sheetData>
    <row r="1" ht="20.25">
      <c r="A1" s="15" t="s">
        <v>447</v>
      </c>
    </row>
    <row r="2" ht="20.25">
      <c r="A2" s="15">
        <v>2006</v>
      </c>
    </row>
    <row r="3" spans="1:13" ht="38.25" customHeight="1">
      <c r="A3" s="15"/>
      <c r="E3" s="10" t="s">
        <v>398</v>
      </c>
      <c r="F3" t="s">
        <v>16</v>
      </c>
      <c r="G3" t="s">
        <v>9</v>
      </c>
      <c r="H3" t="s">
        <v>9</v>
      </c>
      <c r="I3" t="s">
        <v>142</v>
      </c>
      <c r="J3" t="s">
        <v>57</v>
      </c>
      <c r="K3" t="s">
        <v>9</v>
      </c>
      <c r="L3" t="s">
        <v>10</v>
      </c>
      <c r="M3" t="str">
        <f>'2007 Q1 Project List'!B63</f>
        <v>AEPW</v>
      </c>
    </row>
    <row r="4" spans="5:13" ht="53.25" customHeight="1">
      <c r="E4" s="128" t="s">
        <v>395</v>
      </c>
      <c r="F4" s="129" t="str">
        <f>'2006 Apprv Base Plan List'!D19</f>
        <v>Line - Craig Interconnection</v>
      </c>
      <c r="G4" s="129" t="str">
        <f>'2006 Apprv Base Plan List'!D21</f>
        <v>Line - Reno - Sunny Lane 69 kV</v>
      </c>
      <c r="H4" s="129" t="str">
        <f>'2006 Apprv Base Plan List'!D23</f>
        <v>Line - Van Buren AVEC - VBI 69 kV</v>
      </c>
      <c r="I4" s="129" t="str">
        <f>'2006 Apprv Base Plan List'!D33</f>
        <v>Line - Midwest Solvent Jct 1 - Atchison Jct 2 69 kV</v>
      </c>
      <c r="J4" s="129" t="str">
        <f>'2007 Q1 Project List'!C6</f>
        <v>Line - Lone Star South - Pittsburg 138 kV</v>
      </c>
      <c r="K4" s="129" t="str">
        <f>'2007 Q1 Project List'!C19</f>
        <v>Line - Brown Explorer Tap 138kV</v>
      </c>
      <c r="L4" s="129" t="str">
        <f>'2007 Q1 Project List'!C48</f>
        <v>Device - Rush Springs 69 kV</v>
      </c>
      <c r="M4" s="129" t="str">
        <f>'2007 Q1 Project List'!C63</f>
        <v>Line - Okmulgee  - Weleetka 138 kV Ckt 1</v>
      </c>
    </row>
    <row r="5" spans="5:13" ht="12.75">
      <c r="E5" s="124" t="s">
        <v>396</v>
      </c>
      <c r="F5" s="126">
        <f>'2006 Apprv Base Plan List'!G19</f>
        <v>75000</v>
      </c>
      <c r="G5" s="126">
        <f>'2006 Apprv Base Plan List'!G21</f>
        <v>100000</v>
      </c>
      <c r="H5" s="126">
        <f>'2006 Apprv Base Plan List'!G23</f>
        <v>50000</v>
      </c>
      <c r="I5" s="126">
        <f>'2006 Apprv Base Plan List'!G33</f>
        <v>35000</v>
      </c>
      <c r="J5" s="126">
        <f>'2007 Q1 Project List'!F6</f>
        <v>50000</v>
      </c>
      <c r="K5" s="126">
        <f>'2007 Q1 Project List'!F19</f>
        <v>25031.22</v>
      </c>
      <c r="L5" s="126">
        <f>'2007 Q1 Project List'!F48</f>
        <v>90000</v>
      </c>
      <c r="M5" s="126">
        <f>'2007 Q1 Project List'!F63</f>
        <v>84000</v>
      </c>
    </row>
    <row r="6" spans="3:13" ht="12.75">
      <c r="C6" s="98" t="s">
        <v>400</v>
      </c>
      <c r="E6" s="125" t="s">
        <v>397</v>
      </c>
      <c r="F6">
        <f aca="true" t="shared" si="0" ref="F6:L6">VLOOKUP(F3,Carry,11)</f>
        <v>0.17483299999999996</v>
      </c>
      <c r="G6">
        <f t="shared" si="0"/>
        <v>0.22353299999999998</v>
      </c>
      <c r="H6">
        <f t="shared" si="0"/>
        <v>0.22353299999999998</v>
      </c>
      <c r="I6">
        <f t="shared" si="0"/>
        <v>0.19123300000000001</v>
      </c>
      <c r="J6">
        <f t="shared" si="0"/>
        <v>0.18013300000000002</v>
      </c>
      <c r="K6">
        <f t="shared" si="0"/>
        <v>0.22353299999999998</v>
      </c>
      <c r="L6">
        <f t="shared" si="0"/>
        <v>0.182433</v>
      </c>
      <c r="M6">
        <f>VLOOKUP(M3,Carry,11)</f>
        <v>0.18013300000000002</v>
      </c>
    </row>
    <row r="7" spans="1:13" ht="25.5">
      <c r="A7" s="120" t="s">
        <v>1</v>
      </c>
      <c r="B7" s="133"/>
      <c r="C7" s="94" t="s">
        <v>446</v>
      </c>
      <c r="E7" s="2" t="s">
        <v>1</v>
      </c>
      <c r="F7" s="94" t="s">
        <v>446</v>
      </c>
      <c r="G7" s="94" t="s">
        <v>446</v>
      </c>
      <c r="H7" s="94" t="s">
        <v>446</v>
      </c>
      <c r="I7" s="94" t="s">
        <v>446</v>
      </c>
      <c r="J7" s="94" t="s">
        <v>446</v>
      </c>
      <c r="K7" s="94" t="s">
        <v>446</v>
      </c>
      <c r="L7" s="94" t="s">
        <v>446</v>
      </c>
      <c r="M7" s="94" t="s">
        <v>446</v>
      </c>
    </row>
    <row r="8" spans="1:13" ht="12.75">
      <c r="A8" s="5" t="s">
        <v>5</v>
      </c>
      <c r="B8" s="134"/>
      <c r="C8" s="130"/>
      <c r="E8" s="5" t="s">
        <v>5</v>
      </c>
      <c r="F8" s="122"/>
      <c r="G8" s="122"/>
      <c r="H8" s="122"/>
      <c r="I8" s="122"/>
      <c r="J8" s="122"/>
      <c r="K8" s="122"/>
      <c r="L8" s="122"/>
      <c r="M8" s="122"/>
    </row>
    <row r="9" spans="1:13" ht="12.75">
      <c r="A9" s="5" t="s">
        <v>6</v>
      </c>
      <c r="B9" s="134"/>
      <c r="C9" s="130"/>
      <c r="E9" s="5" t="s">
        <v>6</v>
      </c>
      <c r="F9" s="122"/>
      <c r="G9" s="122"/>
      <c r="H9" s="122"/>
      <c r="I9" s="122"/>
      <c r="J9" s="122"/>
      <c r="K9" s="122"/>
      <c r="L9" s="122"/>
      <c r="M9" s="122"/>
    </row>
    <row r="10" spans="1:13" ht="12.75">
      <c r="A10" s="5" t="s">
        <v>7</v>
      </c>
      <c r="B10" s="135"/>
      <c r="C10" s="130">
        <f>SUM(F10:M10)</f>
        <v>24137.822</v>
      </c>
      <c r="E10" s="5" t="s">
        <v>7</v>
      </c>
      <c r="F10" s="130"/>
      <c r="G10" s="130"/>
      <c r="H10" s="130"/>
      <c r="I10" s="130"/>
      <c r="J10" s="130">
        <f>J5*J6</f>
        <v>9006.650000000001</v>
      </c>
      <c r="K10" s="130"/>
      <c r="L10" s="130"/>
      <c r="M10" s="130">
        <f>M5*M6</f>
        <v>15131.172</v>
      </c>
    </row>
    <row r="11" spans="1:13" ht="12.75">
      <c r="A11" s="5" t="s">
        <v>8</v>
      </c>
      <c r="B11" s="135"/>
      <c r="C11" s="130">
        <f aca="true" t="shared" si="1" ref="C11:C22">SUM(F11:M11)</f>
        <v>0</v>
      </c>
      <c r="E11" s="5" t="s">
        <v>8</v>
      </c>
      <c r="F11" s="130"/>
      <c r="G11" s="130"/>
      <c r="H11" s="130"/>
      <c r="I11" s="130"/>
      <c r="J11" s="130"/>
      <c r="K11" s="130"/>
      <c r="L11" s="130"/>
      <c r="M11" s="130"/>
    </row>
    <row r="12" spans="1:13" ht="12.75">
      <c r="A12" s="5" t="s">
        <v>9</v>
      </c>
      <c r="B12" s="135"/>
      <c r="C12" s="130">
        <f t="shared" si="1"/>
        <v>39125.25370026</v>
      </c>
      <c r="E12" s="5" t="s">
        <v>9</v>
      </c>
      <c r="F12" s="130"/>
      <c r="G12" s="130">
        <f>G5*G6</f>
        <v>22353.3</v>
      </c>
      <c r="H12" s="130">
        <f>H5*H6</f>
        <v>11176.65</v>
      </c>
      <c r="I12" s="130"/>
      <c r="J12" s="130"/>
      <c r="K12" s="130">
        <f>K5*K6</f>
        <v>5595.3037002599995</v>
      </c>
      <c r="L12" s="130"/>
      <c r="M12" s="130"/>
    </row>
    <row r="13" spans="1:13" ht="12.75">
      <c r="A13" s="5" t="s">
        <v>10</v>
      </c>
      <c r="B13" s="135"/>
      <c r="C13" s="130">
        <f t="shared" si="1"/>
        <v>16418.97</v>
      </c>
      <c r="E13" s="5" t="s">
        <v>10</v>
      </c>
      <c r="F13" s="130"/>
      <c r="G13" s="130"/>
      <c r="H13" s="130"/>
      <c r="I13" s="130"/>
      <c r="J13" s="130"/>
      <c r="K13" s="130"/>
      <c r="L13" s="130">
        <f>L5*L6</f>
        <v>16418.97</v>
      </c>
      <c r="M13" s="130"/>
    </row>
    <row r="14" spans="1:13" ht="12.75">
      <c r="A14" s="5" t="s">
        <v>11</v>
      </c>
      <c r="B14" s="135"/>
      <c r="C14" s="130">
        <f t="shared" si="1"/>
        <v>0</v>
      </c>
      <c r="E14" s="5" t="s">
        <v>11</v>
      </c>
      <c r="F14" s="130"/>
      <c r="G14" s="130"/>
      <c r="H14" s="130"/>
      <c r="I14" s="130"/>
      <c r="J14" s="130"/>
      <c r="K14" s="130"/>
      <c r="L14" s="130"/>
      <c r="M14" s="130"/>
    </row>
    <row r="15" spans="1:13" ht="12.75">
      <c r="A15" s="5" t="s">
        <v>12</v>
      </c>
      <c r="B15" s="135"/>
      <c r="C15" s="130">
        <f t="shared" si="1"/>
        <v>0</v>
      </c>
      <c r="E15" s="5" t="s">
        <v>12</v>
      </c>
      <c r="F15" s="130"/>
      <c r="G15" s="130"/>
      <c r="H15" s="130"/>
      <c r="I15" s="130"/>
      <c r="J15" s="130"/>
      <c r="K15" s="130"/>
      <c r="L15" s="130"/>
      <c r="M15" s="130"/>
    </row>
    <row r="16" spans="1:13" ht="12.75">
      <c r="A16" s="5" t="s">
        <v>13</v>
      </c>
      <c r="B16" s="135"/>
      <c r="C16" s="130">
        <f t="shared" si="1"/>
        <v>0</v>
      </c>
      <c r="E16" s="5" t="s">
        <v>13</v>
      </c>
      <c r="F16" s="130"/>
      <c r="G16" s="130"/>
      <c r="H16" s="130"/>
      <c r="I16" s="130"/>
      <c r="J16" s="130"/>
      <c r="K16" s="130"/>
      <c r="L16" s="130"/>
      <c r="M16" s="130"/>
    </row>
    <row r="17" spans="1:13" ht="12.75">
      <c r="A17" s="5" t="s">
        <v>14</v>
      </c>
      <c r="B17" s="135"/>
      <c r="C17" s="130">
        <f t="shared" si="1"/>
        <v>6693.155000000001</v>
      </c>
      <c r="E17" s="5" t="s">
        <v>14</v>
      </c>
      <c r="F17" s="130"/>
      <c r="G17" s="130"/>
      <c r="H17" s="130"/>
      <c r="I17" s="130">
        <f>I5*I6</f>
        <v>6693.155000000001</v>
      </c>
      <c r="J17" s="130"/>
      <c r="K17" s="130"/>
      <c r="L17" s="130"/>
      <c r="M17" s="130"/>
    </row>
    <row r="18" spans="1:13" ht="12.75">
      <c r="A18" s="5" t="s">
        <v>15</v>
      </c>
      <c r="B18" s="135"/>
      <c r="C18" s="130">
        <f t="shared" si="1"/>
        <v>0</v>
      </c>
      <c r="E18" s="5" t="s">
        <v>15</v>
      </c>
      <c r="F18" s="130"/>
      <c r="G18" s="130"/>
      <c r="H18" s="130"/>
      <c r="I18" s="130"/>
      <c r="J18" s="130"/>
      <c r="K18" s="130"/>
      <c r="L18" s="130"/>
      <c r="M18" s="130"/>
    </row>
    <row r="19" spans="1:13" ht="12.75">
      <c r="A19" s="5" t="s">
        <v>16</v>
      </c>
      <c r="B19" s="135"/>
      <c r="C19" s="130">
        <f t="shared" si="1"/>
        <v>13112.474999999997</v>
      </c>
      <c r="E19" s="5" t="s">
        <v>16</v>
      </c>
      <c r="F19" s="130">
        <f>F5*F6</f>
        <v>13112.474999999997</v>
      </c>
      <c r="G19" s="130"/>
      <c r="H19" s="130"/>
      <c r="I19" s="130"/>
      <c r="J19" s="130"/>
      <c r="K19" s="130"/>
      <c r="L19" s="130"/>
      <c r="M19" s="130"/>
    </row>
    <row r="20" spans="1:13" ht="12.75">
      <c r="A20" s="5" t="s">
        <v>17</v>
      </c>
      <c r="B20" s="135"/>
      <c r="C20" s="130">
        <f t="shared" si="1"/>
        <v>0</v>
      </c>
      <c r="E20" s="5" t="s">
        <v>17</v>
      </c>
      <c r="F20" s="130"/>
      <c r="G20" s="130"/>
      <c r="H20" s="130"/>
      <c r="I20" s="130"/>
      <c r="J20" s="130"/>
      <c r="K20" s="130"/>
      <c r="L20" s="130"/>
      <c r="M20" s="130"/>
    </row>
    <row r="21" spans="1:13" ht="12.75">
      <c r="A21" s="5" t="s">
        <v>18</v>
      </c>
      <c r="B21" s="135"/>
      <c r="C21" s="130">
        <f t="shared" si="1"/>
        <v>0</v>
      </c>
      <c r="E21" s="5" t="s">
        <v>18</v>
      </c>
      <c r="F21" s="130"/>
      <c r="G21" s="130"/>
      <c r="H21" s="130"/>
      <c r="I21" s="130"/>
      <c r="J21" s="130"/>
      <c r="K21" s="130"/>
      <c r="L21" s="130"/>
      <c r="M21" s="130"/>
    </row>
    <row r="22" spans="1:13" ht="12.75">
      <c r="A22" s="5" t="s">
        <v>19</v>
      </c>
      <c r="B22" s="135"/>
      <c r="C22" s="130">
        <f t="shared" si="1"/>
        <v>0</v>
      </c>
      <c r="E22" s="5" t="s">
        <v>19</v>
      </c>
      <c r="F22" s="130"/>
      <c r="G22" s="130"/>
      <c r="H22" s="130"/>
      <c r="I22" s="130"/>
      <c r="J22" s="130"/>
      <c r="K22" s="130"/>
      <c r="L22" s="130"/>
      <c r="M22" s="130"/>
    </row>
    <row r="23" spans="1:13" ht="12.75">
      <c r="A23" s="2" t="s">
        <v>20</v>
      </c>
      <c r="B23" s="135"/>
      <c r="C23" s="130">
        <f>SUM(C8:C22)</f>
        <v>99487.67570025999</v>
      </c>
      <c r="E23" s="2" t="s">
        <v>20</v>
      </c>
      <c r="F23" s="130">
        <f aca="true" t="shared" si="2" ref="F23:M23">SUM(F8:F22)</f>
        <v>13112.474999999997</v>
      </c>
      <c r="G23" s="130">
        <f t="shared" si="2"/>
        <v>22353.3</v>
      </c>
      <c r="H23" s="130">
        <f t="shared" si="2"/>
        <v>11176.65</v>
      </c>
      <c r="I23" s="130">
        <f t="shared" si="2"/>
        <v>6693.155000000001</v>
      </c>
      <c r="J23" s="130">
        <f t="shared" si="2"/>
        <v>9006.650000000001</v>
      </c>
      <c r="K23" s="130">
        <f t="shared" si="2"/>
        <v>5595.3037002599995</v>
      </c>
      <c r="L23" s="130">
        <f t="shared" si="2"/>
        <v>16418.97</v>
      </c>
      <c r="M23" s="130">
        <f t="shared" si="2"/>
        <v>15131.172</v>
      </c>
    </row>
    <row r="24" spans="3:13" ht="12.75">
      <c r="C24" s="136">
        <f>SUM(F24:M24)</f>
        <v>99487.67570026</v>
      </c>
      <c r="E24" s="11"/>
      <c r="F24" s="131">
        <f aca="true" t="shared" si="3" ref="F24:L24">F6*F5</f>
        <v>13112.474999999997</v>
      </c>
      <c r="G24" s="131">
        <f t="shared" si="3"/>
        <v>22353.3</v>
      </c>
      <c r="H24" s="131">
        <f t="shared" si="3"/>
        <v>11176.65</v>
      </c>
      <c r="I24" s="131">
        <f t="shared" si="3"/>
        <v>6693.155000000001</v>
      </c>
      <c r="J24" s="131">
        <f t="shared" si="3"/>
        <v>9006.650000000001</v>
      </c>
      <c r="K24" s="131">
        <f t="shared" si="3"/>
        <v>5595.3037002599995</v>
      </c>
      <c r="L24" s="131">
        <f t="shared" si="3"/>
        <v>16418.97</v>
      </c>
      <c r="M24" s="131">
        <f>M6*M5</f>
        <v>15131.172</v>
      </c>
    </row>
    <row r="25" ht="20.25">
      <c r="A25" s="15">
        <v>2007</v>
      </c>
    </row>
    <row r="26" spans="1:9" ht="20.25">
      <c r="A26" s="15"/>
      <c r="E26" s="10" t="s">
        <v>398</v>
      </c>
      <c r="F26" t="s">
        <v>57</v>
      </c>
      <c r="G26" t="s">
        <v>57</v>
      </c>
      <c r="H26" t="s">
        <v>57</v>
      </c>
      <c r="I26" t="s">
        <v>10</v>
      </c>
    </row>
    <row r="27" spans="5:9" ht="51">
      <c r="E27" s="128" t="s">
        <v>395</v>
      </c>
      <c r="F27" s="129" t="str">
        <f>'2006 Apprv Base Plan List'!D11</f>
        <v>Line - 53rd &amp; Garnett N. Tap - Tulsa Southeast 138 kV</v>
      </c>
      <c r="G27" s="129" t="str">
        <f>'2006 Apprv Base Plan List'!D12</f>
        <v>Line - Knox Lee - Oak Hill #2 138 kV</v>
      </c>
      <c r="H27" s="129" t="str">
        <f>'2007 Q1 Project List'!C7</f>
        <v>Line - Elk City - Elk City 69 kV</v>
      </c>
      <c r="I27" s="129" t="str">
        <f>'2007 Q1 Project List'!C53</f>
        <v>Device - Snyder</v>
      </c>
    </row>
    <row r="28" spans="5:9" ht="12.75">
      <c r="E28" s="124" t="s">
        <v>396</v>
      </c>
      <c r="F28" s="126">
        <f>'2006 Apprv Base Plan List'!G11</f>
        <v>63000</v>
      </c>
      <c r="G28" s="126">
        <f>'2006 Apprv Base Plan List'!G12</f>
        <v>100000</v>
      </c>
      <c r="H28" s="126">
        <f>'2007 Q1 Project List'!F7</f>
        <v>100000</v>
      </c>
      <c r="I28" s="126">
        <f>'2007 Q1 Project List'!F53</f>
        <v>100000</v>
      </c>
    </row>
    <row r="29" spans="3:9" ht="12.75">
      <c r="C29" s="98" t="s">
        <v>400</v>
      </c>
      <c r="E29" s="125" t="s">
        <v>397</v>
      </c>
      <c r="F29">
        <f>VLOOKUP(F26,Carry,11)</f>
        <v>0.18013300000000002</v>
      </c>
      <c r="G29">
        <f>VLOOKUP(G26,Carry,11)</f>
        <v>0.18013300000000002</v>
      </c>
      <c r="H29">
        <f>VLOOKUP(H26,Carry,11)</f>
        <v>0.18013300000000002</v>
      </c>
      <c r="I29">
        <f>VLOOKUP(I26,Carry,11)</f>
        <v>0.182433</v>
      </c>
    </row>
    <row r="30" spans="1:9" ht="25.5">
      <c r="A30" s="120" t="s">
        <v>1</v>
      </c>
      <c r="B30" s="133"/>
      <c r="C30" s="94" t="s">
        <v>446</v>
      </c>
      <c r="E30" s="2" t="s">
        <v>1</v>
      </c>
      <c r="F30" s="94" t="s">
        <v>446</v>
      </c>
      <c r="G30" s="94" t="s">
        <v>446</v>
      </c>
      <c r="H30" s="94" t="s">
        <v>446</v>
      </c>
      <c r="I30" s="94" t="s">
        <v>446</v>
      </c>
    </row>
    <row r="31" spans="1:9" ht="12.75">
      <c r="A31" s="5" t="s">
        <v>5</v>
      </c>
      <c r="B31" s="134"/>
      <c r="C31" s="130"/>
      <c r="E31" s="5" t="s">
        <v>5</v>
      </c>
      <c r="F31" s="122"/>
      <c r="G31" s="122"/>
      <c r="H31" s="122"/>
      <c r="I31" s="122"/>
    </row>
    <row r="32" spans="1:9" ht="12.75">
      <c r="A32" s="5" t="s">
        <v>6</v>
      </c>
      <c r="B32" s="134"/>
      <c r="C32" s="130"/>
      <c r="E32" s="5" t="s">
        <v>6</v>
      </c>
      <c r="F32" s="122"/>
      <c r="G32" s="122"/>
      <c r="H32" s="122"/>
      <c r="I32" s="122"/>
    </row>
    <row r="33" spans="1:9" ht="12.75">
      <c r="A33" s="5" t="s">
        <v>7</v>
      </c>
      <c r="B33" s="135"/>
      <c r="C33" s="130">
        <f>SUM(F33:I33)</f>
        <v>47374.97900000001</v>
      </c>
      <c r="E33" s="5" t="s">
        <v>7</v>
      </c>
      <c r="F33" s="130">
        <f>F28*F29</f>
        <v>11348.379</v>
      </c>
      <c r="G33" s="130">
        <f>G28*G29</f>
        <v>18013.300000000003</v>
      </c>
      <c r="H33" s="130">
        <f>H28*H29</f>
        <v>18013.300000000003</v>
      </c>
      <c r="I33" s="122"/>
    </row>
    <row r="34" spans="1:9" ht="12.75">
      <c r="A34" s="5" t="s">
        <v>8</v>
      </c>
      <c r="B34" s="135"/>
      <c r="C34" s="130">
        <f aca="true" t="shared" si="4" ref="C34:C45">SUM(F34:I34)</f>
        <v>0</v>
      </c>
      <c r="E34" s="5" t="s">
        <v>8</v>
      </c>
      <c r="F34" s="130"/>
      <c r="G34" s="130"/>
      <c r="H34" s="130"/>
      <c r="I34" s="130"/>
    </row>
    <row r="35" spans="1:9" ht="12.75">
      <c r="A35" s="5" t="s">
        <v>9</v>
      </c>
      <c r="B35" s="135"/>
      <c r="C35" s="130">
        <f t="shared" si="4"/>
        <v>0</v>
      </c>
      <c r="E35" s="5" t="s">
        <v>9</v>
      </c>
      <c r="F35" s="130"/>
      <c r="G35" s="130"/>
      <c r="H35" s="130"/>
      <c r="I35" s="130"/>
    </row>
    <row r="36" spans="1:9" ht="12.75">
      <c r="A36" s="5" t="s">
        <v>10</v>
      </c>
      <c r="B36" s="135"/>
      <c r="C36" s="130">
        <f t="shared" si="4"/>
        <v>18243.300000000003</v>
      </c>
      <c r="E36" s="5" t="s">
        <v>10</v>
      </c>
      <c r="F36" s="130"/>
      <c r="G36" s="130"/>
      <c r="H36" s="130"/>
      <c r="I36" s="130">
        <f>I28*I29</f>
        <v>18243.300000000003</v>
      </c>
    </row>
    <row r="37" spans="1:9" ht="12.75">
      <c r="A37" s="5" t="s">
        <v>11</v>
      </c>
      <c r="B37" s="135"/>
      <c r="C37" s="130">
        <f t="shared" si="4"/>
        <v>0</v>
      </c>
      <c r="E37" s="5" t="s">
        <v>11</v>
      </c>
      <c r="F37" s="130"/>
      <c r="G37" s="130"/>
      <c r="H37" s="130"/>
      <c r="I37" s="130"/>
    </row>
    <row r="38" spans="1:9" ht="12.75">
      <c r="A38" s="5" t="s">
        <v>12</v>
      </c>
      <c r="B38" s="135"/>
      <c r="C38" s="130">
        <f t="shared" si="4"/>
        <v>0</v>
      </c>
      <c r="E38" s="5" t="s">
        <v>12</v>
      </c>
      <c r="F38" s="130"/>
      <c r="G38" s="130"/>
      <c r="H38" s="130"/>
      <c r="I38" s="130"/>
    </row>
    <row r="39" spans="1:9" ht="12.75">
      <c r="A39" s="5" t="s">
        <v>13</v>
      </c>
      <c r="B39" s="135"/>
      <c r="C39" s="130">
        <f t="shared" si="4"/>
        <v>0</v>
      </c>
      <c r="E39" s="5" t="s">
        <v>13</v>
      </c>
      <c r="F39" s="130"/>
      <c r="G39" s="130"/>
      <c r="H39" s="130"/>
      <c r="I39" s="130"/>
    </row>
    <row r="40" spans="1:9" ht="12.75">
      <c r="A40" s="5" t="s">
        <v>14</v>
      </c>
      <c r="B40" s="135"/>
      <c r="C40" s="130">
        <f t="shared" si="4"/>
        <v>0</v>
      </c>
      <c r="E40" s="5" t="s">
        <v>14</v>
      </c>
      <c r="F40" s="130"/>
      <c r="G40" s="130"/>
      <c r="H40" s="130"/>
      <c r="I40" s="130"/>
    </row>
    <row r="41" spans="1:9" ht="12.75">
      <c r="A41" s="5" t="s">
        <v>15</v>
      </c>
      <c r="B41" s="135"/>
      <c r="C41" s="130">
        <f t="shared" si="4"/>
        <v>0</v>
      </c>
      <c r="E41" s="5" t="s">
        <v>15</v>
      </c>
      <c r="F41" s="130"/>
      <c r="G41" s="130"/>
      <c r="H41" s="130"/>
      <c r="I41" s="130"/>
    </row>
    <row r="42" spans="1:9" ht="12.75">
      <c r="A42" s="5" t="s">
        <v>16</v>
      </c>
      <c r="B42" s="135"/>
      <c r="C42" s="130">
        <f t="shared" si="4"/>
        <v>0</v>
      </c>
      <c r="E42" s="5" t="s">
        <v>16</v>
      </c>
      <c r="F42" s="130"/>
      <c r="G42" s="130"/>
      <c r="H42" s="130"/>
      <c r="I42" s="130"/>
    </row>
    <row r="43" spans="1:9" ht="12.75">
      <c r="A43" s="5" t="s">
        <v>17</v>
      </c>
      <c r="B43" s="135"/>
      <c r="C43" s="130">
        <f t="shared" si="4"/>
        <v>0</v>
      </c>
      <c r="E43" s="5" t="s">
        <v>17</v>
      </c>
      <c r="F43" s="130"/>
      <c r="G43" s="130"/>
      <c r="H43" s="130"/>
      <c r="I43" s="130"/>
    </row>
    <row r="44" spans="1:9" ht="12.75">
      <c r="A44" s="5" t="s">
        <v>18</v>
      </c>
      <c r="B44" s="135"/>
      <c r="C44" s="130">
        <f t="shared" si="4"/>
        <v>0</v>
      </c>
      <c r="E44" s="5" t="s">
        <v>18</v>
      </c>
      <c r="F44" s="130"/>
      <c r="G44" s="130"/>
      <c r="H44" s="130"/>
      <c r="I44" s="130"/>
    </row>
    <row r="45" spans="1:9" ht="12.75">
      <c r="A45" s="5" t="s">
        <v>19</v>
      </c>
      <c r="B45" s="135"/>
      <c r="C45" s="130">
        <f t="shared" si="4"/>
        <v>0</v>
      </c>
      <c r="E45" s="5" t="s">
        <v>19</v>
      </c>
      <c r="F45" s="130"/>
      <c r="G45" s="130"/>
      <c r="H45" s="130"/>
      <c r="I45" s="130"/>
    </row>
    <row r="46" spans="1:9" ht="12.75">
      <c r="A46" s="2" t="s">
        <v>20</v>
      </c>
      <c r="B46" s="135"/>
      <c r="C46" s="130">
        <f>SUM(C31:C45)</f>
        <v>65618.27900000001</v>
      </c>
      <c r="E46" s="2" t="s">
        <v>20</v>
      </c>
      <c r="F46" s="130">
        <f>SUM(F31:F45)</f>
        <v>11348.379</v>
      </c>
      <c r="G46" s="130">
        <f>SUM(G31:G45)</f>
        <v>18013.300000000003</v>
      </c>
      <c r="H46" s="130">
        <f>SUM(H31:H45)</f>
        <v>18013.300000000003</v>
      </c>
      <c r="I46" s="130">
        <f>SUM(I31:I45)</f>
        <v>18243.300000000003</v>
      </c>
    </row>
    <row r="47" spans="3:9" ht="12.75">
      <c r="C47" s="136">
        <f>SUM(F47:I47)</f>
        <v>65618.27900000001</v>
      </c>
      <c r="F47" s="131">
        <f>F29*F28</f>
        <v>11348.379</v>
      </c>
      <c r="G47" s="131">
        <f>G29*G28</f>
        <v>18013.300000000003</v>
      </c>
      <c r="H47" s="131">
        <f>H29*H28</f>
        <v>18013.300000000003</v>
      </c>
      <c r="I47" s="131">
        <f>I29*I28</f>
        <v>18243.300000000003</v>
      </c>
    </row>
    <row r="48" ht="20.25">
      <c r="A48" s="15">
        <v>2008</v>
      </c>
    </row>
    <row r="49" spans="1:9" ht="20.25">
      <c r="A49" s="15"/>
      <c r="E49" s="10" t="s">
        <v>398</v>
      </c>
      <c r="F49" t="s">
        <v>57</v>
      </c>
      <c r="G49" t="s">
        <v>18</v>
      </c>
      <c r="H49" t="str">
        <f>'2007 Q1 Project List'!B64</f>
        <v>AEPW</v>
      </c>
      <c r="I49" t="str">
        <f>'2007 Q1 Project List'!B65</f>
        <v>AEPW</v>
      </c>
    </row>
    <row r="50" spans="5:9" ht="38.25">
      <c r="E50" s="128" t="s">
        <v>395</v>
      </c>
      <c r="F50" s="129" t="str">
        <f>'2007 Q1 Project List'!C12</f>
        <v>Line - Bann - Kings Highway 69 kV</v>
      </c>
      <c r="G50" s="129" t="str">
        <f>'2007 Q1 Project List'!C15</f>
        <v>Line - Sub 167 - Riverton - Sub 406 - Riverton S</v>
      </c>
      <c r="H50" s="129" t="str">
        <f>'2007 Q1 Project List'!C64</f>
        <v>Line - Cache - Snyder 138kV</v>
      </c>
      <c r="I50" s="129" t="str">
        <f>'2007 Q1 Project List'!C65</f>
        <v>Line - NW Henderson - Oak Hill 138 kV</v>
      </c>
    </row>
    <row r="51" spans="5:9" ht="12.75">
      <c r="E51" s="124" t="s">
        <v>396</v>
      </c>
      <c r="F51" s="126">
        <f>'2007 Q1 Project List'!F12</f>
        <v>50000</v>
      </c>
      <c r="G51" s="126">
        <f>'2007 Q1 Project List'!F15</f>
        <v>20000</v>
      </c>
      <c r="H51" s="126">
        <f>'2007 Q1 Project List'!F64</f>
        <v>73348</v>
      </c>
      <c r="I51" s="126">
        <f>'2007 Q1 Project List'!F65</f>
        <v>75000</v>
      </c>
    </row>
    <row r="52" spans="3:9" ht="12.75">
      <c r="C52" s="98" t="s">
        <v>400</v>
      </c>
      <c r="E52" s="125" t="s">
        <v>397</v>
      </c>
      <c r="F52">
        <f>VLOOKUP(F49,Carry,11)</f>
        <v>0.18013300000000002</v>
      </c>
      <c r="G52">
        <f>VLOOKUP(G49,Carry,11)</f>
        <v>0.183033</v>
      </c>
      <c r="H52">
        <f>VLOOKUP(H49,Carry,11)</f>
        <v>0.18013300000000002</v>
      </c>
      <c r="I52">
        <f>VLOOKUP(I49,Carry,11)</f>
        <v>0.18013300000000002</v>
      </c>
    </row>
    <row r="53" spans="1:9" ht="25.5">
      <c r="A53" s="120" t="s">
        <v>1</v>
      </c>
      <c r="B53" s="133"/>
      <c r="C53" s="94" t="s">
        <v>446</v>
      </c>
      <c r="E53" s="2" t="s">
        <v>1</v>
      </c>
      <c r="F53" s="94" t="s">
        <v>446</v>
      </c>
      <c r="G53" s="94" t="s">
        <v>446</v>
      </c>
      <c r="H53" s="94" t="s">
        <v>446</v>
      </c>
      <c r="I53" s="94" t="s">
        <v>446</v>
      </c>
    </row>
    <row r="54" spans="1:9" ht="12.75">
      <c r="A54" s="5" t="s">
        <v>5</v>
      </c>
      <c r="B54" s="134"/>
      <c r="C54" s="122"/>
      <c r="E54" s="5" t="s">
        <v>5</v>
      </c>
      <c r="F54" s="130"/>
      <c r="G54" s="130"/>
      <c r="H54" s="130"/>
      <c r="I54" s="130"/>
    </row>
    <row r="55" spans="1:9" ht="12.75">
      <c r="A55" s="5" t="s">
        <v>6</v>
      </c>
      <c r="B55" s="134"/>
      <c r="C55" s="122"/>
      <c r="E55" s="5" t="s">
        <v>6</v>
      </c>
      <c r="F55" s="130"/>
      <c r="G55" s="130"/>
      <c r="H55" s="130"/>
      <c r="I55" s="130"/>
    </row>
    <row r="56" spans="1:9" ht="12.75">
      <c r="A56" s="5" t="s">
        <v>7</v>
      </c>
      <c r="B56" s="135"/>
      <c r="C56" s="130">
        <f>SUM(F56:I56)</f>
        <v>35729.020284000006</v>
      </c>
      <c r="E56" s="5" t="s">
        <v>7</v>
      </c>
      <c r="F56" s="130">
        <f>F51*F52</f>
        <v>9006.650000000001</v>
      </c>
      <c r="G56" s="130"/>
      <c r="H56" s="130">
        <f>H51*H52</f>
        <v>13212.395284000002</v>
      </c>
      <c r="I56" s="130">
        <f>I51*I52</f>
        <v>13509.975</v>
      </c>
    </row>
    <row r="57" spans="1:9" ht="12.75">
      <c r="A57" s="5" t="s">
        <v>8</v>
      </c>
      <c r="B57" s="135"/>
      <c r="C57" s="130">
        <f aca="true" t="shared" si="5" ref="C57:C68">SUM(F57:I57)</f>
        <v>0</v>
      </c>
      <c r="E57" s="5" t="s">
        <v>8</v>
      </c>
      <c r="F57" s="130"/>
      <c r="G57" s="130"/>
      <c r="H57" s="130"/>
      <c r="I57" s="130"/>
    </row>
    <row r="58" spans="1:9" ht="12.75">
      <c r="A58" s="5" t="s">
        <v>9</v>
      </c>
      <c r="B58" s="135"/>
      <c r="C58" s="130">
        <f t="shared" si="5"/>
        <v>0</v>
      </c>
      <c r="E58" s="5" t="s">
        <v>9</v>
      </c>
      <c r="F58" s="130"/>
      <c r="G58" s="130"/>
      <c r="H58" s="130"/>
      <c r="I58" s="130"/>
    </row>
    <row r="59" spans="1:9" ht="12.75">
      <c r="A59" s="5" t="s">
        <v>10</v>
      </c>
      <c r="B59" s="135"/>
      <c r="C59" s="130">
        <f t="shared" si="5"/>
        <v>0</v>
      </c>
      <c r="E59" s="5" t="s">
        <v>10</v>
      </c>
      <c r="F59" s="130"/>
      <c r="G59" s="130"/>
      <c r="H59" s="130"/>
      <c r="I59" s="130"/>
    </row>
    <row r="60" spans="1:9" ht="12.75">
      <c r="A60" s="5" t="s">
        <v>11</v>
      </c>
      <c r="B60" s="135"/>
      <c r="C60" s="130">
        <f t="shared" si="5"/>
        <v>0</v>
      </c>
      <c r="E60" s="5" t="s">
        <v>11</v>
      </c>
      <c r="F60" s="130"/>
      <c r="G60" s="130"/>
      <c r="H60" s="130"/>
      <c r="I60" s="130"/>
    </row>
    <row r="61" spans="1:9" ht="12.75">
      <c r="A61" s="5" t="s">
        <v>12</v>
      </c>
      <c r="B61" s="135"/>
      <c r="C61" s="130">
        <f t="shared" si="5"/>
        <v>0</v>
      </c>
      <c r="E61" s="5" t="s">
        <v>12</v>
      </c>
      <c r="F61" s="130"/>
      <c r="G61" s="130"/>
      <c r="H61" s="130"/>
      <c r="I61" s="130"/>
    </row>
    <row r="62" spans="1:9" ht="12.75">
      <c r="A62" s="5" t="s">
        <v>13</v>
      </c>
      <c r="B62" s="135"/>
      <c r="C62" s="130">
        <f t="shared" si="5"/>
        <v>0</v>
      </c>
      <c r="E62" s="5" t="s">
        <v>13</v>
      </c>
      <c r="F62" s="130"/>
      <c r="G62" s="130"/>
      <c r="H62" s="130"/>
      <c r="I62" s="130"/>
    </row>
    <row r="63" spans="1:9" ht="12.75">
      <c r="A63" s="5" t="s">
        <v>14</v>
      </c>
      <c r="B63" s="135"/>
      <c r="C63" s="130">
        <f t="shared" si="5"/>
        <v>0</v>
      </c>
      <c r="E63" s="5" t="s">
        <v>14</v>
      </c>
      <c r="F63" s="130"/>
      <c r="G63" s="130"/>
      <c r="H63" s="130"/>
      <c r="I63" s="130"/>
    </row>
    <row r="64" spans="1:9" ht="12.75">
      <c r="A64" s="5" t="s">
        <v>15</v>
      </c>
      <c r="B64" s="135"/>
      <c r="C64" s="130">
        <f t="shared" si="5"/>
        <v>0</v>
      </c>
      <c r="E64" s="5" t="s">
        <v>15</v>
      </c>
      <c r="F64" s="130"/>
      <c r="G64" s="130"/>
      <c r="H64" s="130"/>
      <c r="I64" s="130"/>
    </row>
    <row r="65" spans="1:9" ht="12.75">
      <c r="A65" s="5" t="s">
        <v>16</v>
      </c>
      <c r="B65" s="135"/>
      <c r="C65" s="130">
        <f t="shared" si="5"/>
        <v>0</v>
      </c>
      <c r="E65" s="5" t="s">
        <v>16</v>
      </c>
      <c r="F65" s="130"/>
      <c r="G65" s="130"/>
      <c r="H65" s="130"/>
      <c r="I65" s="130"/>
    </row>
    <row r="66" spans="1:9" ht="12.75">
      <c r="A66" s="5" t="s">
        <v>17</v>
      </c>
      <c r="B66" s="135"/>
      <c r="C66" s="130">
        <f t="shared" si="5"/>
        <v>0</v>
      </c>
      <c r="E66" s="5" t="s">
        <v>17</v>
      </c>
      <c r="F66" s="130"/>
      <c r="G66" s="130"/>
      <c r="H66" s="130"/>
      <c r="I66" s="130"/>
    </row>
    <row r="67" spans="1:9" ht="12.75">
      <c r="A67" s="5" t="s">
        <v>18</v>
      </c>
      <c r="B67" s="135"/>
      <c r="C67" s="130">
        <f t="shared" si="5"/>
        <v>3660.66</v>
      </c>
      <c r="E67" s="5" t="s">
        <v>18</v>
      </c>
      <c r="F67" s="130"/>
      <c r="G67" s="130">
        <f>G51*G52</f>
        <v>3660.66</v>
      </c>
      <c r="H67" s="130"/>
      <c r="I67" s="130"/>
    </row>
    <row r="68" spans="1:9" ht="12.75">
      <c r="A68" s="5" t="s">
        <v>19</v>
      </c>
      <c r="B68" s="135"/>
      <c r="C68" s="130">
        <f t="shared" si="5"/>
        <v>0</v>
      </c>
      <c r="E68" s="5" t="s">
        <v>19</v>
      </c>
      <c r="F68" s="130"/>
      <c r="G68" s="130"/>
      <c r="H68" s="130"/>
      <c r="I68" s="130"/>
    </row>
    <row r="69" spans="1:9" ht="12.75">
      <c r="A69" s="2" t="s">
        <v>20</v>
      </c>
      <c r="B69" s="135"/>
      <c r="C69" s="130">
        <f>SUM(C56:C68)</f>
        <v>39389.680284</v>
      </c>
      <c r="E69" s="2" t="s">
        <v>20</v>
      </c>
      <c r="F69" s="130">
        <f>SUM(F56:F68)</f>
        <v>9006.650000000001</v>
      </c>
      <c r="G69" s="130">
        <f>SUM(G56:G68)</f>
        <v>3660.66</v>
      </c>
      <c r="H69" s="130">
        <f>SUM(H56:H68)</f>
        <v>13212.395284000002</v>
      </c>
      <c r="I69" s="130">
        <f>SUM(I56:I68)</f>
        <v>13509.975</v>
      </c>
    </row>
    <row r="70" spans="3:9" ht="12.75">
      <c r="C70" s="136">
        <f>SUM(F70:I70)</f>
        <v>39389.680284</v>
      </c>
      <c r="F70" s="131">
        <f>F52*F51</f>
        <v>9006.650000000001</v>
      </c>
      <c r="G70" s="131">
        <f>G52*G51</f>
        <v>3660.66</v>
      </c>
      <c r="H70" s="131">
        <f>H52*H51</f>
        <v>13212.395284000002</v>
      </c>
      <c r="I70" s="131">
        <f>I52*I51</f>
        <v>13509.975</v>
      </c>
    </row>
  </sheetData>
  <printOptions/>
  <pageMargins left="0.75" right="0.75" top="1" bottom="1" header="0.5" footer="0.5"/>
  <pageSetup orientation="portrait" paperSize="9"/>
  <ignoredErrors>
    <ignoredError sqref="C23 C46 C69" formula="1"/>
  </ignoredErrors>
</worksheet>
</file>

<file path=xl/worksheets/sheet5.xml><?xml version="1.0" encoding="utf-8"?>
<worksheet xmlns="http://schemas.openxmlformats.org/spreadsheetml/2006/main" xmlns:r="http://schemas.openxmlformats.org/officeDocument/2006/relationships">
  <sheetPr>
    <tabColor indexed="15"/>
  </sheetPr>
  <dimension ref="A1:BN70"/>
  <sheetViews>
    <sheetView showGridLines="0" zoomScale="85" zoomScaleNormal="85" workbookViewId="0" topLeftCell="A40">
      <pane xSplit="1" topLeftCell="B1" activePane="topRight" state="frozen"/>
      <selection pane="topLeft" activeCell="A1" sqref="A1"/>
      <selection pane="topRight" activeCell="P35" sqref="P35"/>
    </sheetView>
  </sheetViews>
  <sheetFormatPr defaultColWidth="9.140625" defaultRowHeight="12.75"/>
  <cols>
    <col min="1" max="1" width="9.00390625" style="0" bestFit="1" customWidth="1"/>
    <col min="2" max="2" width="12.421875" style="0" bestFit="1" customWidth="1"/>
    <col min="3" max="3" width="4.7109375" style="14" customWidth="1"/>
    <col min="4" max="4" width="13.28125" style="14" bestFit="1" customWidth="1"/>
    <col min="5" max="5" width="11.28125" style="14" bestFit="1" customWidth="1"/>
    <col min="6" max="6" width="4.8515625" style="0" customWidth="1"/>
    <col min="7" max="7" width="9.00390625" style="0" bestFit="1" customWidth="1"/>
    <col min="8" max="8" width="13.28125" style="0" bestFit="1" customWidth="1"/>
    <col min="9" max="9" width="15.7109375" style="0" bestFit="1" customWidth="1"/>
    <col min="10" max="10" width="13.28125" style="0" bestFit="1" customWidth="1"/>
    <col min="11" max="11" width="14.57421875" style="0" bestFit="1" customWidth="1"/>
    <col min="12" max="12" width="13.28125" style="0" bestFit="1" customWidth="1"/>
    <col min="13" max="13" width="15.140625" style="0" bestFit="1" customWidth="1"/>
    <col min="14" max="14" width="13.28125" style="0" bestFit="1" customWidth="1"/>
    <col min="15" max="15" width="15.7109375" style="0" bestFit="1" customWidth="1"/>
    <col min="16" max="16" width="13.28125" style="0" bestFit="1" customWidth="1"/>
    <col min="17" max="17" width="16.28125" style="0" bestFit="1" customWidth="1"/>
    <col min="18" max="18" width="13.28125" style="0" bestFit="1" customWidth="1"/>
    <col min="19" max="19" width="14.28125" style="0" bestFit="1" customWidth="1"/>
    <col min="20" max="20" width="13.28125" style="0" bestFit="1" customWidth="1"/>
    <col min="21" max="21" width="15.7109375" style="0" bestFit="1" customWidth="1"/>
    <col min="22" max="22" width="13.28125" style="0" bestFit="1" customWidth="1"/>
    <col min="23" max="23" width="16.140625" style="0" customWidth="1"/>
    <col min="24" max="24" width="13.28125" style="0" bestFit="1" customWidth="1"/>
    <col min="25" max="25" width="14.57421875" style="0" customWidth="1"/>
    <col min="26" max="28" width="13.28125" style="0" bestFit="1" customWidth="1"/>
    <col min="29" max="29" width="12.7109375" style="0" bestFit="1" customWidth="1"/>
    <col min="30" max="30" width="13.28125" style="0" bestFit="1" customWidth="1"/>
    <col min="31" max="31" width="16.421875" style="0" customWidth="1"/>
    <col min="32" max="32" width="13.28125" style="0" bestFit="1" customWidth="1"/>
    <col min="33" max="33" width="14.28125" style="0" customWidth="1"/>
    <col min="34" max="34" width="13.28125" style="0" bestFit="1" customWidth="1"/>
    <col min="35" max="35" width="13.28125" style="0" customWidth="1"/>
    <col min="36" max="36" width="13.28125" style="0" bestFit="1" customWidth="1"/>
    <col min="37" max="37" width="14.28125" style="0" customWidth="1"/>
    <col min="38" max="38" width="13.28125" style="0" bestFit="1" customWidth="1"/>
    <col min="39" max="39" width="16.28125" style="0" customWidth="1"/>
    <col min="40" max="41" width="17.57421875" style="0" customWidth="1"/>
    <col min="42" max="42" width="13.28125" style="0" bestFit="1" customWidth="1"/>
    <col min="43" max="43" width="15.28125" style="0" bestFit="1" customWidth="1"/>
    <col min="44" max="44" width="13.28125" style="0" bestFit="1" customWidth="1"/>
    <col min="45" max="45" width="15.00390625" style="0" bestFit="1" customWidth="1"/>
    <col min="46" max="46" width="13.28125" style="0" bestFit="1" customWidth="1"/>
    <col min="47" max="47" width="17.28125" style="0" bestFit="1" customWidth="1"/>
    <col min="48" max="48" width="13.28125" style="0" bestFit="1" customWidth="1"/>
    <col min="49" max="49" width="16.28125" style="0" bestFit="1" customWidth="1"/>
    <col min="50" max="64" width="17.57421875" style="0" customWidth="1"/>
    <col min="65" max="66" width="17.57421875" style="0" hidden="1" customWidth="1"/>
    <col min="67" max="16384" width="17.57421875" style="0" customWidth="1"/>
  </cols>
  <sheetData>
    <row r="1" ht="20.25">
      <c r="A1" s="15" t="s">
        <v>407</v>
      </c>
    </row>
    <row r="2" ht="20.25">
      <c r="A2" s="15">
        <v>2006</v>
      </c>
    </row>
    <row r="3" spans="1:39" ht="20.25">
      <c r="A3" s="15"/>
      <c r="H3" s="10" t="s">
        <v>398</v>
      </c>
      <c r="I3" t="str">
        <f>'2006 Apprv Base Plan List'!C5</f>
        <v>AEPW</v>
      </c>
      <c r="J3" s="10" t="s">
        <v>398</v>
      </c>
      <c r="K3" t="str">
        <f>'2006 Apprv Base Plan List'!C6</f>
        <v>AEPW</v>
      </c>
      <c r="L3" s="10" t="s">
        <v>398</v>
      </c>
      <c r="M3" t="str">
        <f>'2006 Apprv Base Plan List'!C7</f>
        <v>AEPW</v>
      </c>
      <c r="N3" s="10" t="s">
        <v>398</v>
      </c>
      <c r="O3" t="str">
        <f>'2006 Apprv Base Plan List'!C8</f>
        <v>AEPW</v>
      </c>
      <c r="P3" s="10" t="s">
        <v>398</v>
      </c>
      <c r="Q3" t="str">
        <f>'2006 Apprv Base Plan List'!C16</f>
        <v>KCPL</v>
      </c>
      <c r="R3" s="10" t="s">
        <v>398</v>
      </c>
      <c r="S3" t="s">
        <v>11</v>
      </c>
      <c r="T3" s="10" t="s">
        <v>398</v>
      </c>
      <c r="U3" t="s">
        <v>11</v>
      </c>
      <c r="V3" s="10" t="s">
        <v>398</v>
      </c>
      <c r="W3" t="s">
        <v>11</v>
      </c>
      <c r="X3" s="10" t="s">
        <v>398</v>
      </c>
      <c r="Y3" t="s">
        <v>11</v>
      </c>
      <c r="Z3" s="10" t="s">
        <v>398</v>
      </c>
      <c r="AA3" t="s">
        <v>11</v>
      </c>
      <c r="AB3" s="10" t="s">
        <v>398</v>
      </c>
      <c r="AC3" t="s">
        <v>11</v>
      </c>
      <c r="AD3" s="10" t="s">
        <v>398</v>
      </c>
      <c r="AE3" t="s">
        <v>142</v>
      </c>
      <c r="AF3" s="10" t="s">
        <v>398</v>
      </c>
      <c r="AG3" t="s">
        <v>142</v>
      </c>
      <c r="AH3" s="10" t="s">
        <v>398</v>
      </c>
      <c r="AI3" t="s">
        <v>142</v>
      </c>
      <c r="AJ3" s="10" t="s">
        <v>398</v>
      </c>
      <c r="AK3" t="s">
        <v>142</v>
      </c>
      <c r="AL3" s="10" t="s">
        <v>398</v>
      </c>
      <c r="AM3" t="s">
        <v>142</v>
      </c>
    </row>
    <row r="4" spans="8:39" ht="46.5" customHeight="1">
      <c r="H4" s="128" t="s">
        <v>395</v>
      </c>
      <c r="I4" s="129" t="str">
        <f>'2006 Apprv Base Plan List'!D5</f>
        <v>Line - Tontitown - Elm Springs REC 161 kV</v>
      </c>
      <c r="J4" s="128" t="s">
        <v>395</v>
      </c>
      <c r="K4" s="129" t="str">
        <f>'2006 Apprv Base Plan List'!D6</f>
        <v>Device - Arsenal Hill</v>
      </c>
      <c r="L4" s="128" t="s">
        <v>395</v>
      </c>
      <c r="M4" s="129" t="str">
        <f>'2006 Apprv Base Plan List'!D7</f>
        <v>Device - Catoosa</v>
      </c>
      <c r="N4" s="128" t="s">
        <v>395</v>
      </c>
      <c r="O4" s="129" t="str">
        <f>'2006 Apprv Base Plan List'!D8</f>
        <v>Line - Carthage REC - Carthage T 138 kV</v>
      </c>
      <c r="P4" s="128" t="s">
        <v>395</v>
      </c>
      <c r="Q4" s="129" t="str">
        <f>'2006 Apprv Base Plan List'!D16</f>
        <v>Line - Tomahawk - Bendix 161 kV</v>
      </c>
      <c r="R4" s="128" t="s">
        <v>395</v>
      </c>
      <c r="S4" s="129" t="str">
        <f>'2006 Apprv Base Plan List'!D26</f>
        <v>XFR - Bailey Co 115/69 kV</v>
      </c>
      <c r="T4" s="128" t="s">
        <v>395</v>
      </c>
      <c r="U4" s="129" t="str">
        <f>'2006 Apprv Base Plan List'!D27</f>
        <v>XFR - Denver City 115/69 kV</v>
      </c>
      <c r="V4" s="128" t="s">
        <v>395</v>
      </c>
      <c r="W4" s="129" t="str">
        <f>'2006 Apprv Base Plan List'!D28</f>
        <v>XFR - Kress 115/69 kV</v>
      </c>
      <c r="X4" s="128" t="s">
        <v>395</v>
      </c>
      <c r="Y4" s="129" t="str">
        <f>'2006 Apprv Base Plan List'!D29</f>
        <v>XFR - Hockley 115/69 kV</v>
      </c>
      <c r="Z4" s="128" t="s">
        <v>395</v>
      </c>
      <c r="AA4" s="129" t="str">
        <f>'2006 Apprv Base Plan List'!D30</f>
        <v>XFR - Terry Co 115/69 kV</v>
      </c>
      <c r="AB4" s="128" t="s">
        <v>395</v>
      </c>
      <c r="AC4" s="129" t="str">
        <f>'2006 Apprv Base Plan List'!D31</f>
        <v>XFR - Hale Co 115/69 kV</v>
      </c>
      <c r="AD4" s="128" t="s">
        <v>395</v>
      </c>
      <c r="AE4" s="129" t="str">
        <f>'2006 Apprv Base Plan List'!D32</f>
        <v>Line - Circle - Hutchinson Energy Center 115 kV</v>
      </c>
      <c r="AF4" s="128" t="s">
        <v>395</v>
      </c>
      <c r="AG4" s="129" t="str">
        <f>'2006 Apprv Base Plan List'!D36</f>
        <v>Device - Clearwater</v>
      </c>
      <c r="AH4" s="128" t="s">
        <v>395</v>
      </c>
      <c r="AI4" s="129" t="str">
        <f>'2006 Apprv Base Plan List'!D37</f>
        <v>Device - UDALL  2</v>
      </c>
      <c r="AJ4" s="128" t="s">
        <v>395</v>
      </c>
      <c r="AK4" s="129" t="str">
        <f>'2006 Apprv Base Plan List'!D38</f>
        <v>Multi - HEC - 43rd &amp; Lorraine - Tower 33 69 kV</v>
      </c>
      <c r="AL4" s="128" t="s">
        <v>395</v>
      </c>
      <c r="AM4" s="129" t="str">
        <f>'2007 Q1 Project List'!C36</f>
        <v>Line - Cities Service - 3rd &amp; VanBuren 69 kV</v>
      </c>
    </row>
    <row r="5" spans="8:39" ht="12.75">
      <c r="H5" s="124" t="s">
        <v>396</v>
      </c>
      <c r="I5" s="126">
        <f>'2006 Apprv Base Plan List'!G5</f>
        <v>640000</v>
      </c>
      <c r="J5" s="124" t="s">
        <v>396</v>
      </c>
      <c r="K5" s="126">
        <f>'2006 Apprv Base Plan List'!G6</f>
        <v>432000</v>
      </c>
      <c r="L5" s="124" t="s">
        <v>396</v>
      </c>
      <c r="M5" s="126">
        <f>'2006 Apprv Base Plan List'!G7</f>
        <v>394000</v>
      </c>
      <c r="N5" s="124" t="s">
        <v>396</v>
      </c>
      <c r="O5" s="126">
        <f>'2006 Apprv Base Plan List'!G8</f>
        <v>690000</v>
      </c>
      <c r="P5" s="124" t="s">
        <v>396</v>
      </c>
      <c r="Q5" s="126">
        <f>'2006 Apprv Base Plan List'!G16</f>
        <v>528600</v>
      </c>
      <c r="R5" s="124" t="s">
        <v>396</v>
      </c>
      <c r="S5" s="126">
        <f>'2006 Apprv Base Plan List'!G26</f>
        <v>2200000</v>
      </c>
      <c r="T5" s="124" t="s">
        <v>396</v>
      </c>
      <c r="U5" s="126">
        <f>'2006 Apprv Base Plan List'!G27</f>
        <v>2200000</v>
      </c>
      <c r="V5" s="124" t="s">
        <v>396</v>
      </c>
      <c r="W5" s="126">
        <f>'2006 Apprv Base Plan List'!G28</f>
        <v>1250000</v>
      </c>
      <c r="X5" s="124" t="s">
        <v>396</v>
      </c>
      <c r="Y5" s="126">
        <f>'2006 Apprv Base Plan List'!G29</f>
        <v>2750000</v>
      </c>
      <c r="Z5" s="124" t="s">
        <v>396</v>
      </c>
      <c r="AA5" s="126">
        <f>'2006 Apprv Base Plan List'!G30</f>
        <v>2375000</v>
      </c>
      <c r="AB5" s="124" t="s">
        <v>396</v>
      </c>
      <c r="AC5" s="126">
        <f>'2006 Apprv Base Plan List'!G31</f>
        <v>2900000</v>
      </c>
      <c r="AD5" s="124" t="s">
        <v>396</v>
      </c>
      <c r="AE5" s="126">
        <f>'2006 Apprv Base Plan List'!G32</f>
        <v>300000</v>
      </c>
      <c r="AF5" s="124" t="s">
        <v>396</v>
      </c>
      <c r="AG5" s="126">
        <f>'2006 Apprv Base Plan List'!G36</f>
        <v>1000000</v>
      </c>
      <c r="AH5" s="124" t="s">
        <v>396</v>
      </c>
      <c r="AI5" s="126">
        <f>'2006 Apprv Base Plan List'!G37</f>
        <v>525000</v>
      </c>
      <c r="AJ5" s="124" t="s">
        <v>396</v>
      </c>
      <c r="AK5" s="126">
        <f>'2006 Apprv Base Plan List'!G38</f>
        <v>2400000</v>
      </c>
      <c r="AL5" s="124" t="s">
        <v>396</v>
      </c>
      <c r="AM5" s="126">
        <f>'2007 Q1 Project List'!F36</f>
        <v>1700000</v>
      </c>
    </row>
    <row r="6" spans="8:65" ht="12.75">
      <c r="H6" s="125" t="s">
        <v>397</v>
      </c>
      <c r="I6">
        <f>VLOOKUP(I3,Carry,11)</f>
        <v>0.18013300000000002</v>
      </c>
      <c r="J6" s="125" t="s">
        <v>397</v>
      </c>
      <c r="K6">
        <f>VLOOKUP(K3,Carry,11)</f>
        <v>0.18013300000000002</v>
      </c>
      <c r="L6" s="125" t="s">
        <v>397</v>
      </c>
      <c r="M6">
        <f>VLOOKUP(M3,Carry,11)</f>
        <v>0.18013300000000002</v>
      </c>
      <c r="N6" s="125" t="s">
        <v>397</v>
      </c>
      <c r="O6">
        <f>VLOOKUP(O3,Carry,11)</f>
        <v>0.18013300000000002</v>
      </c>
      <c r="P6" s="125" t="s">
        <v>397</v>
      </c>
      <c r="Q6">
        <f>VLOOKUP(Q3,Carry,11)</f>
        <v>0.22283300000000003</v>
      </c>
      <c r="R6" s="125" t="s">
        <v>397</v>
      </c>
      <c r="S6">
        <f>VLOOKUP(S3,Carry,11)</f>
        <v>0.167033</v>
      </c>
      <c r="T6" s="125" t="s">
        <v>397</v>
      </c>
      <c r="U6">
        <f>VLOOKUP(U3,Carry,11)</f>
        <v>0.167033</v>
      </c>
      <c r="V6" s="125" t="s">
        <v>397</v>
      </c>
      <c r="W6">
        <f>VLOOKUP(W3,Carry,11)</f>
        <v>0.167033</v>
      </c>
      <c r="X6" s="125" t="s">
        <v>397</v>
      </c>
      <c r="Y6">
        <f>VLOOKUP(Y3,Carry,11)</f>
        <v>0.167033</v>
      </c>
      <c r="Z6" s="125" t="s">
        <v>397</v>
      </c>
      <c r="AA6">
        <f>VLOOKUP(AA3,Carry,11)</f>
        <v>0.167033</v>
      </c>
      <c r="AB6" s="125" t="s">
        <v>397</v>
      </c>
      <c r="AC6">
        <f>VLOOKUP(AC3,Carry,11)</f>
        <v>0.167033</v>
      </c>
      <c r="AD6" s="125" t="s">
        <v>397</v>
      </c>
      <c r="AE6">
        <f>VLOOKUP(AE3,Carry,11)</f>
        <v>0.19123300000000001</v>
      </c>
      <c r="AF6" s="125" t="s">
        <v>397</v>
      </c>
      <c r="AG6">
        <f>VLOOKUP(AG3,Carry,11)</f>
        <v>0.19123300000000001</v>
      </c>
      <c r="AH6" s="125" t="s">
        <v>397</v>
      </c>
      <c r="AI6">
        <f>VLOOKUP(AI3,Carry,11)</f>
        <v>0.19123300000000001</v>
      </c>
      <c r="AJ6" s="125" t="s">
        <v>397</v>
      </c>
      <c r="AK6">
        <f>VLOOKUP(AK3,Carry,11)</f>
        <v>0.19123300000000001</v>
      </c>
      <c r="AL6" s="125" t="s">
        <v>397</v>
      </c>
      <c r="AM6">
        <f>VLOOKUP(AM3,Carry,11)</f>
        <v>0.19123300000000001</v>
      </c>
      <c r="BM6" s="10" t="s">
        <v>449</v>
      </c>
    </row>
    <row r="7" spans="1:66" ht="25.5">
      <c r="A7" s="120" t="s">
        <v>1</v>
      </c>
      <c r="B7" s="94" t="s">
        <v>394</v>
      </c>
      <c r="C7" s="133"/>
      <c r="D7" s="94" t="s">
        <v>362</v>
      </c>
      <c r="E7" s="94" t="s">
        <v>363</v>
      </c>
      <c r="G7" s="2" t="s">
        <v>1</v>
      </c>
      <c r="H7" s="94" t="s">
        <v>362</v>
      </c>
      <c r="I7" s="94" t="s">
        <v>363</v>
      </c>
      <c r="J7" s="94" t="s">
        <v>362</v>
      </c>
      <c r="K7" s="94" t="s">
        <v>363</v>
      </c>
      <c r="L7" s="94" t="s">
        <v>362</v>
      </c>
      <c r="M7" s="94" t="s">
        <v>363</v>
      </c>
      <c r="N7" s="94" t="s">
        <v>362</v>
      </c>
      <c r="O7" s="94" t="s">
        <v>363</v>
      </c>
      <c r="P7" s="94" t="s">
        <v>362</v>
      </c>
      <c r="Q7" s="94" t="s">
        <v>363</v>
      </c>
      <c r="R7" s="94" t="s">
        <v>362</v>
      </c>
      <c r="S7" s="94" t="s">
        <v>363</v>
      </c>
      <c r="T7" s="94" t="s">
        <v>362</v>
      </c>
      <c r="U7" s="94" t="s">
        <v>363</v>
      </c>
      <c r="V7" s="94" t="s">
        <v>362</v>
      </c>
      <c r="W7" s="94" t="s">
        <v>363</v>
      </c>
      <c r="X7" s="94" t="s">
        <v>362</v>
      </c>
      <c r="Y7" s="94" t="s">
        <v>363</v>
      </c>
      <c r="Z7" s="94" t="s">
        <v>362</v>
      </c>
      <c r="AA7" s="94" t="s">
        <v>363</v>
      </c>
      <c r="AB7" s="94" t="s">
        <v>362</v>
      </c>
      <c r="AC7" s="94" t="s">
        <v>363</v>
      </c>
      <c r="AD7" s="94" t="s">
        <v>362</v>
      </c>
      <c r="AE7" s="94" t="s">
        <v>363</v>
      </c>
      <c r="AF7" s="94" t="s">
        <v>362</v>
      </c>
      <c r="AG7" s="94" t="s">
        <v>363</v>
      </c>
      <c r="AH7" s="94" t="s">
        <v>362</v>
      </c>
      <c r="AI7" s="94" t="s">
        <v>363</v>
      </c>
      <c r="AJ7" s="94" t="s">
        <v>362</v>
      </c>
      <c r="AK7" s="94" t="s">
        <v>363</v>
      </c>
      <c r="AL7" s="94" t="s">
        <v>362</v>
      </c>
      <c r="AM7" s="94" t="s">
        <v>363</v>
      </c>
      <c r="BM7" s="120" t="s">
        <v>1</v>
      </c>
      <c r="BN7" s="94" t="s">
        <v>448</v>
      </c>
    </row>
    <row r="8" spans="1:66" ht="12.75">
      <c r="A8" s="5" t="s">
        <v>5</v>
      </c>
      <c r="B8" s="5"/>
      <c r="C8" s="134"/>
      <c r="D8" s="130"/>
      <c r="E8" s="127"/>
      <c r="G8" s="5" t="s">
        <v>5</v>
      </c>
      <c r="H8" s="122"/>
      <c r="I8" s="123"/>
      <c r="J8" s="122"/>
      <c r="K8" s="123"/>
      <c r="L8" s="122"/>
      <c r="M8" s="123"/>
      <c r="N8" s="122"/>
      <c r="O8" s="123"/>
      <c r="P8" s="122"/>
      <c r="Q8" s="123"/>
      <c r="R8" s="122"/>
      <c r="S8" s="123"/>
      <c r="T8" s="122"/>
      <c r="U8" s="123"/>
      <c r="V8" s="122"/>
      <c r="W8" s="123"/>
      <c r="X8" s="122"/>
      <c r="Y8" s="123"/>
      <c r="Z8" s="122"/>
      <c r="AA8" s="123"/>
      <c r="AB8" s="122"/>
      <c r="AC8" s="123"/>
      <c r="AD8" s="122"/>
      <c r="AE8" s="123"/>
      <c r="AF8" s="122"/>
      <c r="AG8" s="123"/>
      <c r="AH8" s="122"/>
      <c r="AI8" s="123"/>
      <c r="AJ8" s="122"/>
      <c r="AK8" s="123"/>
      <c r="AL8" s="122"/>
      <c r="AM8" s="123"/>
      <c r="BM8" s="5" t="s">
        <v>5</v>
      </c>
      <c r="BN8" s="177" t="s">
        <v>56</v>
      </c>
    </row>
    <row r="9" spans="1:66" ht="12.75">
      <c r="A9" s="5" t="s">
        <v>6</v>
      </c>
      <c r="B9" s="5"/>
      <c r="C9" s="134"/>
      <c r="D9" s="130"/>
      <c r="E9" s="127"/>
      <c r="G9" s="5" t="s">
        <v>6</v>
      </c>
      <c r="H9" s="122"/>
      <c r="I9" s="123"/>
      <c r="J9" s="122"/>
      <c r="K9" s="123"/>
      <c r="L9" s="122"/>
      <c r="M9" s="123"/>
      <c r="N9" s="122"/>
      <c r="O9" s="123"/>
      <c r="P9" s="122"/>
      <c r="Q9" s="123"/>
      <c r="R9" s="122"/>
      <c r="S9" s="123"/>
      <c r="T9" s="122"/>
      <c r="U9" s="123"/>
      <c r="V9" s="122"/>
      <c r="W9" s="123"/>
      <c r="X9" s="122"/>
      <c r="Y9" s="123"/>
      <c r="Z9" s="122"/>
      <c r="AA9" s="123"/>
      <c r="AB9" s="122"/>
      <c r="AC9" s="123"/>
      <c r="AD9" s="122"/>
      <c r="AE9" s="123"/>
      <c r="AF9" s="122"/>
      <c r="AG9" s="123"/>
      <c r="AH9" s="122"/>
      <c r="AI9" s="123"/>
      <c r="AJ9" s="122"/>
      <c r="AK9" s="123"/>
      <c r="AL9" s="122"/>
      <c r="AM9" s="123"/>
      <c r="BM9" s="5" t="s">
        <v>6</v>
      </c>
      <c r="BN9" s="177" t="s">
        <v>56</v>
      </c>
    </row>
    <row r="10" spans="1:66" ht="12.75">
      <c r="A10" s="5" t="s">
        <v>7</v>
      </c>
      <c r="B10" s="119">
        <v>0.26842691570660077</v>
      </c>
      <c r="C10" s="135"/>
      <c r="D10" s="130">
        <f>SUM(H10,J10,L10,N10,P10,R10,T10,V10,X10,Z10,AB10,AD10,AF10,AH10,AJ10,AL10)</f>
        <v>347537.1765470027</v>
      </c>
      <c r="E10" s="127">
        <f>SUM(I10,K10,M10,O10,Q10,S10,U10,W10,Y10,AA10,AC10,AE10,AG10,AI10,AK10,AM10)</f>
        <v>260205.72116000002</v>
      </c>
      <c r="G10" s="5" t="s">
        <v>7</v>
      </c>
      <c r="H10" s="130">
        <f>0.33*B10*$I$5*$I$6</f>
        <v>10212.05763219357</v>
      </c>
      <c r="I10" s="127">
        <f>0.67*I5*I6</f>
        <v>77241.0304</v>
      </c>
      <c r="J10" s="130">
        <f>0.33*B10*$K$5*$K$6</f>
        <v>6893.138901730659</v>
      </c>
      <c r="K10" s="127">
        <f>0.67*K5*K6</f>
        <v>52137.69552</v>
      </c>
      <c r="L10" s="130">
        <f>0.33*$M$5*$M$6*B10</f>
        <v>6286.7979798191645</v>
      </c>
      <c r="M10" s="127">
        <f>0.67*M5*M6</f>
        <v>47551.509340000004</v>
      </c>
      <c r="N10" s="130">
        <f>0.33*$O$5*$O$6*B10</f>
        <v>11009.87463470869</v>
      </c>
      <c r="O10" s="127">
        <f>0.67*O5*O6</f>
        <v>83275.48590000001</v>
      </c>
      <c r="P10" s="130">
        <f>0.33*$Q$5*$Q$6*B10</f>
        <v>10433.899930140473</v>
      </c>
      <c r="Q10" s="127"/>
      <c r="R10" s="130">
        <f>0.33*S$5*S$6*$B10</f>
        <v>32551.047086146184</v>
      </c>
      <c r="S10" s="127"/>
      <c r="T10" s="130">
        <f>0.33*U$5*U$6*$B10</f>
        <v>32551.047086146184</v>
      </c>
      <c r="U10" s="127"/>
      <c r="V10" s="130">
        <f aca="true" t="shared" si="0" ref="V10:V22">0.33*W$5*W$6*$B10</f>
        <v>18494.91311712851</v>
      </c>
      <c r="W10" s="127"/>
      <c r="X10" s="130">
        <f aca="true" t="shared" si="1" ref="X10:X22">0.33*Y$5*Y$6*$B10</f>
        <v>40688.80885768273</v>
      </c>
      <c r="Y10" s="127"/>
      <c r="Z10" s="130">
        <f aca="true" t="shared" si="2" ref="Z10:Z22">0.33*AA$5*AA$6*$B10</f>
        <v>35140.33492254418</v>
      </c>
      <c r="AA10" s="127"/>
      <c r="AB10" s="130">
        <f aca="true" t="shared" si="3" ref="AB10:AB22">0.33*AC$5*AC$6*$B10</f>
        <v>42908.19843173815</v>
      </c>
      <c r="AC10" s="127"/>
      <c r="AD10" s="130">
        <f aca="true" t="shared" si="4" ref="AD10:AD22">0.33*AE$5*AE$6*$B10</f>
        <v>5081.876352760719</v>
      </c>
      <c r="AE10" s="127"/>
      <c r="AF10" s="130">
        <f aca="true" t="shared" si="5" ref="AF10:AF22">0.33*AG$5*AG$6*$B10</f>
        <v>16939.58784253573</v>
      </c>
      <c r="AG10" s="127"/>
      <c r="AH10" s="130">
        <f aca="true" t="shared" si="6" ref="AH10:AH22">0.33*AI$5*AI$6*$B10</f>
        <v>8893.283617331257</v>
      </c>
      <c r="AI10" s="127"/>
      <c r="AJ10" s="130">
        <f aca="true" t="shared" si="7" ref="AJ10:AJ22">0.33*AK$5*AK$6*$B10</f>
        <v>40655.01082208575</v>
      </c>
      <c r="AK10" s="127"/>
      <c r="AL10" s="130">
        <f aca="true" t="shared" si="8" ref="AL10:AL22">0.33*AM$5*AM$6*$B10</f>
        <v>28797.299332310737</v>
      </c>
      <c r="AM10" s="127"/>
      <c r="BM10" s="5" t="s">
        <v>7</v>
      </c>
      <c r="BN10" s="130">
        <f>I5*I6+K5*K6+M5*M6+O5*O6</f>
        <v>388366.748</v>
      </c>
    </row>
    <row r="11" spans="1:66" ht="12.75">
      <c r="A11" s="5" t="s">
        <v>8</v>
      </c>
      <c r="B11" s="119">
        <v>0.023359037702306462</v>
      </c>
      <c r="C11" s="135"/>
      <c r="D11" s="130">
        <f aca="true" t="shared" si="9" ref="D11:D22">SUM(H11,J11,L11,N11,P11,R11,T11,V11,X11,Z11,AB11,AD11,AF11,AH11,AJ11,AL11)</f>
        <v>30243.36806368536</v>
      </c>
      <c r="E11" s="127">
        <f aca="true" t="shared" si="10" ref="E11:E22">SUM(I11,K11,M11,O11,Q11,S11,U11,W11,Y11,AA11,AC11,AE11,AG11,AI11,AK11,AM11)</f>
        <v>0</v>
      </c>
      <c r="G11" s="5" t="s">
        <v>8</v>
      </c>
      <c r="H11" s="130">
        <f aca="true" t="shared" si="11" ref="H11:H22">0.33*B11*$I$5*$I$6</f>
        <v>888.6733233163253</v>
      </c>
      <c r="I11" s="127"/>
      <c r="J11" s="130">
        <f aca="true" t="shared" si="12" ref="J11:J22">0.33*B11*$K$5*$K$6</f>
        <v>599.8544932385196</v>
      </c>
      <c r="K11" s="127"/>
      <c r="L11" s="130">
        <f aca="true" t="shared" si="13" ref="L11:L22">0.33*$M$5*$M$6*B11</f>
        <v>547.0895146666127</v>
      </c>
      <c r="M11" s="127"/>
      <c r="N11" s="130">
        <f aca="true" t="shared" si="14" ref="N11:N22">0.33*$O$5*$O$6*B11</f>
        <v>958.1009267004132</v>
      </c>
      <c r="O11" s="127"/>
      <c r="P11" s="130">
        <f aca="true" t="shared" si="15" ref="P11:P22">0.33*$Q$5*$Q$6*B11</f>
        <v>907.9784760357052</v>
      </c>
      <c r="Q11" s="127"/>
      <c r="R11" s="130">
        <f aca="true" t="shared" si="16" ref="R11:T22">0.33*S$5*S$6*$B11</f>
        <v>2832.6560849283114</v>
      </c>
      <c r="S11" s="127"/>
      <c r="T11" s="130">
        <f t="shared" si="16"/>
        <v>2832.6560849283114</v>
      </c>
      <c r="U11" s="127"/>
      <c r="V11" s="130">
        <f t="shared" si="0"/>
        <v>1609.4636846183587</v>
      </c>
      <c r="W11" s="127"/>
      <c r="X11" s="130">
        <f t="shared" si="1"/>
        <v>3540.8201061603895</v>
      </c>
      <c r="Y11" s="127"/>
      <c r="Z11" s="130">
        <f t="shared" si="2"/>
        <v>3057.981000774882</v>
      </c>
      <c r="AA11" s="127"/>
      <c r="AB11" s="130">
        <f t="shared" si="3"/>
        <v>3733.9557483145923</v>
      </c>
      <c r="AC11" s="127"/>
      <c r="AD11" s="130">
        <f t="shared" si="4"/>
        <v>442.2348668355921</v>
      </c>
      <c r="AE11" s="127"/>
      <c r="AF11" s="130">
        <f t="shared" si="5"/>
        <v>1474.1162227853067</v>
      </c>
      <c r="AG11" s="127"/>
      <c r="AH11" s="130">
        <f t="shared" si="6"/>
        <v>773.9110169622861</v>
      </c>
      <c r="AI11" s="127"/>
      <c r="AJ11" s="130">
        <f t="shared" si="7"/>
        <v>3537.8789346847366</v>
      </c>
      <c r="AK11" s="127"/>
      <c r="AL11" s="130">
        <f t="shared" si="8"/>
        <v>2505.9975787350213</v>
      </c>
      <c r="AM11" s="127"/>
      <c r="BM11" s="5" t="s">
        <v>8</v>
      </c>
      <c r="BN11" s="130"/>
    </row>
    <row r="12" spans="1:66" ht="12.75">
      <c r="A12" s="5" t="s">
        <v>9</v>
      </c>
      <c r="B12" s="119">
        <v>0.1693140627525223</v>
      </c>
      <c r="C12" s="135"/>
      <c r="D12" s="130">
        <f t="shared" si="9"/>
        <v>219213.9754831101</v>
      </c>
      <c r="E12" s="127">
        <f t="shared" si="10"/>
        <v>0</v>
      </c>
      <c r="G12" s="5" t="s">
        <v>9</v>
      </c>
      <c r="H12" s="130">
        <f t="shared" si="11"/>
        <v>6441.399373896983</v>
      </c>
      <c r="I12" s="127"/>
      <c r="J12" s="130">
        <f t="shared" si="12"/>
        <v>4347.944577380463</v>
      </c>
      <c r="K12" s="127"/>
      <c r="L12" s="130">
        <f t="shared" si="13"/>
        <v>3965.486489555329</v>
      </c>
      <c r="M12" s="127"/>
      <c r="N12" s="130">
        <f t="shared" si="14"/>
        <v>6944.6336999826835</v>
      </c>
      <c r="O12" s="127"/>
      <c r="P12" s="130">
        <f t="shared" si="15"/>
        <v>6581.329532006765</v>
      </c>
      <c r="Q12" s="127"/>
      <c r="R12" s="130">
        <f t="shared" si="16"/>
        <v>20532.032022556734</v>
      </c>
      <c r="S12" s="127"/>
      <c r="T12" s="130">
        <f t="shared" si="16"/>
        <v>20532.032022556734</v>
      </c>
      <c r="U12" s="127"/>
      <c r="V12" s="130">
        <f t="shared" si="0"/>
        <v>11665.927285543597</v>
      </c>
      <c r="W12" s="127"/>
      <c r="X12" s="130">
        <f t="shared" si="1"/>
        <v>25665.040028195916</v>
      </c>
      <c r="Y12" s="127"/>
      <c r="Z12" s="130">
        <f t="shared" si="2"/>
        <v>22165.261842532836</v>
      </c>
      <c r="AA12" s="127"/>
      <c r="AB12" s="130">
        <f t="shared" si="3"/>
        <v>27064.951302461148</v>
      </c>
      <c r="AC12" s="127"/>
      <c r="AD12" s="130">
        <f t="shared" si="4"/>
        <v>3205.465180072957</v>
      </c>
      <c r="AE12" s="127"/>
      <c r="AF12" s="130">
        <f t="shared" si="5"/>
        <v>10684.883933576524</v>
      </c>
      <c r="AG12" s="127"/>
      <c r="AH12" s="130">
        <f t="shared" si="6"/>
        <v>5609.564065127674</v>
      </c>
      <c r="AI12" s="127"/>
      <c r="AJ12" s="130">
        <f t="shared" si="7"/>
        <v>25643.721440583657</v>
      </c>
      <c r="AK12" s="127"/>
      <c r="AL12" s="130">
        <f t="shared" si="8"/>
        <v>18164.30268708009</v>
      </c>
      <c r="AM12" s="127"/>
      <c r="BM12" s="5" t="s">
        <v>9</v>
      </c>
      <c r="BN12" s="130"/>
    </row>
    <row r="13" spans="1:66" ht="12.75">
      <c r="A13" s="5" t="s">
        <v>10</v>
      </c>
      <c r="B13" s="119">
        <v>0.037757139888717005</v>
      </c>
      <c r="C13" s="135"/>
      <c r="D13" s="130">
        <f t="shared" si="9"/>
        <v>48884.85104734317</v>
      </c>
      <c r="E13" s="127">
        <f t="shared" si="10"/>
        <v>0</v>
      </c>
      <c r="G13" s="5" t="s">
        <v>10</v>
      </c>
      <c r="H13" s="130">
        <f t="shared" si="11"/>
        <v>1436.436012966084</v>
      </c>
      <c r="I13" s="127"/>
      <c r="J13" s="130">
        <f t="shared" si="12"/>
        <v>969.5943087521067</v>
      </c>
      <c r="K13" s="127"/>
      <c r="L13" s="130">
        <f t="shared" si="13"/>
        <v>884.3059204822454</v>
      </c>
      <c r="M13" s="127"/>
      <c r="N13" s="130">
        <f t="shared" si="14"/>
        <v>1548.6575764790591</v>
      </c>
      <c r="O13" s="127"/>
      <c r="P13" s="130">
        <f t="shared" si="15"/>
        <v>1467.6405240888473</v>
      </c>
      <c r="Q13" s="127"/>
      <c r="R13" s="130">
        <f t="shared" si="16"/>
        <v>4578.65573994528</v>
      </c>
      <c r="S13" s="127"/>
      <c r="T13" s="130">
        <f t="shared" si="16"/>
        <v>4578.65573994528</v>
      </c>
      <c r="U13" s="127"/>
      <c r="V13" s="130">
        <f t="shared" si="0"/>
        <v>2601.508943150727</v>
      </c>
      <c r="W13" s="127"/>
      <c r="X13" s="130">
        <f t="shared" si="1"/>
        <v>5723.3196749316</v>
      </c>
      <c r="Y13" s="127"/>
      <c r="Z13" s="130">
        <f t="shared" si="2"/>
        <v>4942.866991986382</v>
      </c>
      <c r="AA13" s="127"/>
      <c r="AB13" s="130">
        <f t="shared" si="3"/>
        <v>6035.500748109687</v>
      </c>
      <c r="AC13" s="127"/>
      <c r="AD13" s="130">
        <f t="shared" si="4"/>
        <v>714.820702101563</v>
      </c>
      <c r="AE13" s="127"/>
      <c r="AF13" s="130">
        <f t="shared" si="5"/>
        <v>2382.7356736718766</v>
      </c>
      <c r="AG13" s="127"/>
      <c r="AH13" s="130">
        <f t="shared" si="6"/>
        <v>1250.9362286777352</v>
      </c>
      <c r="AI13" s="127"/>
      <c r="AJ13" s="130">
        <f t="shared" si="7"/>
        <v>5718.565616812504</v>
      </c>
      <c r="AK13" s="127"/>
      <c r="AL13" s="130">
        <f t="shared" si="8"/>
        <v>4050.65064524219</v>
      </c>
      <c r="AM13" s="127"/>
      <c r="BM13" s="5" t="s">
        <v>10</v>
      </c>
      <c r="BN13" s="130"/>
    </row>
    <row r="14" spans="1:66" ht="12.75">
      <c r="A14" s="5" t="s">
        <v>11</v>
      </c>
      <c r="B14" s="119">
        <v>0.13787142428370233</v>
      </c>
      <c r="C14" s="135"/>
      <c r="D14" s="130">
        <f t="shared" si="9"/>
        <v>178504.62348732902</v>
      </c>
      <c r="E14" s="127">
        <f t="shared" si="10"/>
        <v>1530398.1042499999</v>
      </c>
      <c r="G14" s="5" t="s">
        <v>11</v>
      </c>
      <c r="H14" s="130">
        <f t="shared" si="11"/>
        <v>5245.192818728788</v>
      </c>
      <c r="I14" s="127"/>
      <c r="J14" s="130">
        <f t="shared" si="12"/>
        <v>3540.5051526419315</v>
      </c>
      <c r="K14" s="127"/>
      <c r="L14" s="130">
        <f t="shared" si="13"/>
        <v>3229.07182902991</v>
      </c>
      <c r="M14" s="127"/>
      <c r="N14" s="130">
        <f t="shared" si="14"/>
        <v>5654.973507691974</v>
      </c>
      <c r="O14" s="127"/>
      <c r="P14" s="130">
        <f t="shared" si="15"/>
        <v>5359.137105961669</v>
      </c>
      <c r="Q14" s="127"/>
      <c r="R14" s="130">
        <f t="shared" si="16"/>
        <v>16719.110346587626</v>
      </c>
      <c r="S14" s="127">
        <f>0.67*S5*S6</f>
        <v>246206.642</v>
      </c>
      <c r="T14" s="130">
        <f t="shared" si="16"/>
        <v>16719.110346587626</v>
      </c>
      <c r="U14" s="127">
        <f>0.67*U5*U6</f>
        <v>246206.642</v>
      </c>
      <c r="V14" s="130">
        <f t="shared" si="0"/>
        <v>9499.494515106604</v>
      </c>
      <c r="W14" s="127">
        <f>0.67*W5*W6</f>
        <v>139890.13749999998</v>
      </c>
      <c r="X14" s="130">
        <f t="shared" si="1"/>
        <v>20898.88793323453</v>
      </c>
      <c r="Y14" s="127">
        <f>0.67*Y5*Y6</f>
        <v>307758.3025</v>
      </c>
      <c r="Z14" s="130">
        <f t="shared" si="2"/>
        <v>18049.03957870255</v>
      </c>
      <c r="AA14" s="127">
        <f>0.67*AA5*AA6</f>
        <v>265791.26125</v>
      </c>
      <c r="AB14" s="130">
        <f t="shared" si="3"/>
        <v>22038.827275047322</v>
      </c>
      <c r="AC14" s="127">
        <f>0.67*AC5*AC6</f>
        <v>324545.11899999995</v>
      </c>
      <c r="AD14" s="130">
        <f t="shared" si="4"/>
        <v>2610.19104192448</v>
      </c>
      <c r="AE14" s="127"/>
      <c r="AF14" s="130">
        <f t="shared" si="5"/>
        <v>8700.636806414932</v>
      </c>
      <c r="AG14" s="127"/>
      <c r="AH14" s="130">
        <f t="shared" si="6"/>
        <v>4567.83432336784</v>
      </c>
      <c r="AI14" s="127"/>
      <c r="AJ14" s="130">
        <f t="shared" si="7"/>
        <v>20881.52833539584</v>
      </c>
      <c r="AK14" s="127"/>
      <c r="AL14" s="130">
        <f t="shared" si="8"/>
        <v>14791.082570905384</v>
      </c>
      <c r="AM14" s="127"/>
      <c r="BM14" s="5" t="s">
        <v>11</v>
      </c>
      <c r="BN14" s="130">
        <f>S5*S6+U5*U6+W5*W6+Y5*Y6+AA5*AA6+AC5*AC6</f>
        <v>2284176.275</v>
      </c>
    </row>
    <row r="15" spans="1:66" ht="12.75">
      <c r="A15" s="5" t="s">
        <v>12</v>
      </c>
      <c r="B15" s="119">
        <v>0.008591531410892802</v>
      </c>
      <c r="C15" s="135"/>
      <c r="D15" s="130">
        <f t="shared" si="9"/>
        <v>11123.61091247731</v>
      </c>
      <c r="E15" s="127">
        <f t="shared" si="10"/>
        <v>0</v>
      </c>
      <c r="G15" s="5" t="s">
        <v>12</v>
      </c>
      <c r="H15" s="130">
        <f t="shared" si="11"/>
        <v>326.85699079722025</v>
      </c>
      <c r="I15" s="127"/>
      <c r="J15" s="130">
        <f t="shared" si="12"/>
        <v>220.62846878812366</v>
      </c>
      <c r="K15" s="127"/>
      <c r="L15" s="130">
        <f t="shared" si="13"/>
        <v>201.22133495953867</v>
      </c>
      <c r="M15" s="127"/>
      <c r="N15" s="130">
        <f t="shared" si="14"/>
        <v>352.39269320325303</v>
      </c>
      <c r="O15" s="127"/>
      <c r="P15" s="130">
        <f t="shared" si="15"/>
        <v>333.9574898885958</v>
      </c>
      <c r="Q15" s="127"/>
      <c r="R15" s="130">
        <f t="shared" si="16"/>
        <v>1041.860287229007</v>
      </c>
      <c r="S15" s="127"/>
      <c r="T15" s="130">
        <f t="shared" si="16"/>
        <v>1041.860287229007</v>
      </c>
      <c r="U15" s="127"/>
      <c r="V15" s="130">
        <f t="shared" si="0"/>
        <v>591.9660722892086</v>
      </c>
      <c r="W15" s="127"/>
      <c r="X15" s="130">
        <f t="shared" si="1"/>
        <v>1302.325359036259</v>
      </c>
      <c r="Y15" s="127"/>
      <c r="Z15" s="130">
        <f t="shared" si="2"/>
        <v>1124.7355373494963</v>
      </c>
      <c r="AA15" s="127"/>
      <c r="AB15" s="130">
        <f t="shared" si="3"/>
        <v>1373.361287710964</v>
      </c>
      <c r="AC15" s="127"/>
      <c r="AD15" s="130">
        <f t="shared" si="4"/>
        <v>162.65544830362708</v>
      </c>
      <c r="AE15" s="127"/>
      <c r="AF15" s="130">
        <f t="shared" si="5"/>
        <v>542.184827678757</v>
      </c>
      <c r="AG15" s="127"/>
      <c r="AH15" s="130">
        <f t="shared" si="6"/>
        <v>284.64703453134734</v>
      </c>
      <c r="AI15" s="127"/>
      <c r="AJ15" s="130">
        <f t="shared" si="7"/>
        <v>1301.2435864290167</v>
      </c>
      <c r="AK15" s="127"/>
      <c r="AL15" s="130">
        <f t="shared" si="8"/>
        <v>921.7142070538866</v>
      </c>
      <c r="AM15" s="127"/>
      <c r="BM15" s="5" t="s">
        <v>12</v>
      </c>
      <c r="BN15" s="130"/>
    </row>
    <row r="16" spans="1:66" ht="12.75">
      <c r="A16" s="5" t="s">
        <v>13</v>
      </c>
      <c r="B16" s="119">
        <v>0.011644887216309189</v>
      </c>
      <c r="C16" s="135"/>
      <c r="D16" s="130">
        <f t="shared" si="9"/>
        <v>15076.845828634843</v>
      </c>
      <c r="E16" s="127">
        <f t="shared" si="10"/>
        <v>0</v>
      </c>
      <c r="G16" s="5" t="s">
        <v>13</v>
      </c>
      <c r="H16" s="130">
        <f t="shared" si="11"/>
        <v>443.0191326391614</v>
      </c>
      <c r="I16" s="127"/>
      <c r="J16" s="130">
        <f t="shared" si="12"/>
        <v>299.03791453143396</v>
      </c>
      <c r="K16" s="127"/>
      <c r="L16" s="130">
        <f t="shared" si="13"/>
        <v>272.73365353098376</v>
      </c>
      <c r="M16" s="127"/>
      <c r="N16" s="130">
        <f t="shared" si="14"/>
        <v>477.6300023765959</v>
      </c>
      <c r="O16" s="127"/>
      <c r="P16" s="130">
        <f t="shared" si="15"/>
        <v>452.64308757154316</v>
      </c>
      <c r="Q16" s="127"/>
      <c r="R16" s="130">
        <f t="shared" si="16"/>
        <v>1412.128404087687</v>
      </c>
      <c r="S16" s="127"/>
      <c r="T16" s="130">
        <f t="shared" si="16"/>
        <v>1412.128404087687</v>
      </c>
      <c r="U16" s="127"/>
      <c r="V16" s="130">
        <f t="shared" si="0"/>
        <v>802.3456841407311</v>
      </c>
      <c r="W16" s="127"/>
      <c r="X16" s="130">
        <f t="shared" si="1"/>
        <v>1765.1605051096085</v>
      </c>
      <c r="Y16" s="127"/>
      <c r="Z16" s="130">
        <f t="shared" si="2"/>
        <v>1524.4567998673892</v>
      </c>
      <c r="AA16" s="127"/>
      <c r="AB16" s="130">
        <f t="shared" si="3"/>
        <v>1861.4419872064962</v>
      </c>
      <c r="AC16" s="127"/>
      <c r="AD16" s="130">
        <f t="shared" si="4"/>
        <v>220.46178498660908</v>
      </c>
      <c r="AE16" s="127"/>
      <c r="AF16" s="130">
        <f t="shared" si="5"/>
        <v>734.8726166220303</v>
      </c>
      <c r="AG16" s="127"/>
      <c r="AH16" s="130">
        <f t="shared" si="6"/>
        <v>385.8081237265659</v>
      </c>
      <c r="AI16" s="127"/>
      <c r="AJ16" s="130">
        <f t="shared" si="7"/>
        <v>1763.6942798928726</v>
      </c>
      <c r="AK16" s="127"/>
      <c r="AL16" s="130">
        <f t="shared" si="8"/>
        <v>1249.2834482574513</v>
      </c>
      <c r="AM16" s="127"/>
      <c r="BM16" s="5" t="s">
        <v>13</v>
      </c>
      <c r="BN16" s="130"/>
    </row>
    <row r="17" spans="1:66" ht="12.75">
      <c r="A17" s="5" t="s">
        <v>14</v>
      </c>
      <c r="B17" s="119">
        <v>0.1379637753099531</v>
      </c>
      <c r="C17" s="135"/>
      <c r="D17" s="130">
        <f t="shared" si="9"/>
        <v>178624.19202921656</v>
      </c>
      <c r="E17" s="127">
        <f t="shared" si="10"/>
        <v>759147.2017500001</v>
      </c>
      <c r="G17" s="5" t="s">
        <v>14</v>
      </c>
      <c r="H17" s="130">
        <f t="shared" si="11"/>
        <v>5248.706229446125</v>
      </c>
      <c r="I17" s="127"/>
      <c r="J17" s="130">
        <f t="shared" si="12"/>
        <v>3542.8767048761338</v>
      </c>
      <c r="K17" s="127"/>
      <c r="L17" s="130">
        <f t="shared" si="13"/>
        <v>3231.23477250277</v>
      </c>
      <c r="M17" s="127"/>
      <c r="N17" s="130">
        <f t="shared" si="14"/>
        <v>5658.761403621603</v>
      </c>
      <c r="O17" s="127"/>
      <c r="P17" s="130">
        <f t="shared" si="15"/>
        <v>5362.72684048516</v>
      </c>
      <c r="Q17" s="127"/>
      <c r="R17" s="130">
        <f t="shared" si="16"/>
        <v>16730.30938225821</v>
      </c>
      <c r="S17" s="127"/>
      <c r="T17" s="130">
        <f t="shared" si="16"/>
        <v>16730.30938225821</v>
      </c>
      <c r="U17" s="127"/>
      <c r="V17" s="130">
        <f t="shared" si="0"/>
        <v>9505.8576035558</v>
      </c>
      <c r="W17" s="127"/>
      <c r="X17" s="130">
        <f t="shared" si="1"/>
        <v>20912.88672782276</v>
      </c>
      <c r="Y17" s="127"/>
      <c r="Z17" s="130">
        <f t="shared" si="2"/>
        <v>18061.129446756022</v>
      </c>
      <c r="AA17" s="127"/>
      <c r="AB17" s="130">
        <f t="shared" si="3"/>
        <v>22053.589640249455</v>
      </c>
      <c r="AC17" s="127"/>
      <c r="AD17" s="130">
        <f t="shared" si="4"/>
        <v>2611.939437740978</v>
      </c>
      <c r="AE17" s="127">
        <f>0.67*AE5*AE6</f>
        <v>38437.833000000006</v>
      </c>
      <c r="AF17" s="130">
        <f t="shared" si="5"/>
        <v>8706.464792469927</v>
      </c>
      <c r="AG17" s="127">
        <f>0.67*AG5*AG6</f>
        <v>128126.11000000002</v>
      </c>
      <c r="AH17" s="130">
        <f t="shared" si="6"/>
        <v>4570.894016046712</v>
      </c>
      <c r="AI17" s="127">
        <f>0.67*AI5*AI6</f>
        <v>67266.20775</v>
      </c>
      <c r="AJ17" s="130">
        <f t="shared" si="7"/>
        <v>20895.515501927825</v>
      </c>
      <c r="AK17" s="127">
        <f>0.67*AK5*AK6</f>
        <v>307502.66400000005</v>
      </c>
      <c r="AL17" s="130">
        <f t="shared" si="8"/>
        <v>14800.990147198876</v>
      </c>
      <c r="AM17" s="127">
        <f>0.67*AM5*AM6</f>
        <v>217814.38700000002</v>
      </c>
      <c r="BM17" s="5" t="s">
        <v>14</v>
      </c>
      <c r="BN17" s="130">
        <f>AE5*AE6+AG5*AG6+AI5*AI6+AK5*AK6+AM5*AM6</f>
        <v>1133055.5250000001</v>
      </c>
    </row>
    <row r="18" spans="1:66" ht="12.75">
      <c r="A18" s="5" t="s">
        <v>15</v>
      </c>
      <c r="B18" s="119">
        <v>0.014499111121372334</v>
      </c>
      <c r="C18" s="135"/>
      <c r="D18" s="130">
        <f t="shared" si="9"/>
        <v>18772.26107634733</v>
      </c>
      <c r="E18" s="127">
        <f t="shared" si="10"/>
        <v>0</v>
      </c>
      <c r="G18" s="5" t="s">
        <v>15</v>
      </c>
      <c r="H18" s="130">
        <f t="shared" si="11"/>
        <v>551.6054826218457</v>
      </c>
      <c r="I18" s="127"/>
      <c r="J18" s="130">
        <f t="shared" si="12"/>
        <v>372.3337007697458</v>
      </c>
      <c r="K18" s="127"/>
      <c r="L18" s="130">
        <f t="shared" si="13"/>
        <v>339.5821252390737</v>
      </c>
      <c r="M18" s="127"/>
      <c r="N18" s="130">
        <f t="shared" si="14"/>
        <v>594.6996609516773</v>
      </c>
      <c r="O18" s="127"/>
      <c r="P18" s="130">
        <f t="shared" si="15"/>
        <v>563.5883201882115</v>
      </c>
      <c r="Q18" s="127"/>
      <c r="R18" s="130">
        <f t="shared" si="16"/>
        <v>1758.2486002816702</v>
      </c>
      <c r="S18" s="127"/>
      <c r="T18" s="130">
        <f t="shared" si="16"/>
        <v>1758.2486002816702</v>
      </c>
      <c r="U18" s="127"/>
      <c r="V18" s="130">
        <f t="shared" si="0"/>
        <v>999.0048865236762</v>
      </c>
      <c r="W18" s="127"/>
      <c r="X18" s="130">
        <f t="shared" si="1"/>
        <v>2197.810750352088</v>
      </c>
      <c r="Y18" s="127"/>
      <c r="Z18" s="130">
        <f t="shared" si="2"/>
        <v>1898.109284394985</v>
      </c>
      <c r="AA18" s="127"/>
      <c r="AB18" s="130">
        <f t="shared" si="3"/>
        <v>2317.691336734929</v>
      </c>
      <c r="AC18" s="127"/>
      <c r="AD18" s="130">
        <f t="shared" si="4"/>
        <v>274.4981431902662</v>
      </c>
      <c r="AE18" s="127"/>
      <c r="AF18" s="130">
        <f t="shared" si="5"/>
        <v>914.9938106342206</v>
      </c>
      <c r="AG18" s="127"/>
      <c r="AH18" s="130">
        <f t="shared" si="6"/>
        <v>480.37175058296583</v>
      </c>
      <c r="AI18" s="127"/>
      <c r="AJ18" s="130">
        <f t="shared" si="7"/>
        <v>2195.9851455221296</v>
      </c>
      <c r="AK18" s="127"/>
      <c r="AL18" s="130">
        <f t="shared" si="8"/>
        <v>1555.489478078175</v>
      </c>
      <c r="AM18" s="127"/>
      <c r="BM18" s="5" t="s">
        <v>15</v>
      </c>
      <c r="BN18" s="130"/>
    </row>
    <row r="19" spans="1:66" ht="12.75">
      <c r="A19" s="5" t="s">
        <v>16</v>
      </c>
      <c r="B19" s="119">
        <v>0.0483371043335719</v>
      </c>
      <c r="C19" s="135"/>
      <c r="D19" s="130">
        <f t="shared" si="9"/>
        <v>62582.92212733705</v>
      </c>
      <c r="E19" s="127">
        <f t="shared" si="10"/>
        <v>0</v>
      </c>
      <c r="G19" s="5" t="s">
        <v>16</v>
      </c>
      <c r="H19" s="130">
        <f t="shared" si="11"/>
        <v>1838.9411282709575</v>
      </c>
      <c r="I19" s="127"/>
      <c r="J19" s="130">
        <f t="shared" si="12"/>
        <v>1241.2852615828965</v>
      </c>
      <c r="K19" s="127"/>
      <c r="L19" s="130">
        <f t="shared" si="13"/>
        <v>1132.0981320918083</v>
      </c>
      <c r="M19" s="127"/>
      <c r="N19" s="130">
        <f t="shared" si="14"/>
        <v>1982.6084039171265</v>
      </c>
      <c r="O19" s="127"/>
      <c r="P19" s="130">
        <f t="shared" si="15"/>
        <v>1878.889485436376</v>
      </c>
      <c r="Q19" s="127"/>
      <c r="R19" s="130">
        <f t="shared" si="16"/>
        <v>5861.645263956547</v>
      </c>
      <c r="S19" s="127"/>
      <c r="T19" s="130">
        <f t="shared" si="16"/>
        <v>5861.645263956547</v>
      </c>
      <c r="U19" s="127"/>
      <c r="V19" s="130">
        <f t="shared" si="0"/>
        <v>3330.480263611674</v>
      </c>
      <c r="W19" s="127"/>
      <c r="X19" s="130">
        <f t="shared" si="1"/>
        <v>7327.056579945684</v>
      </c>
      <c r="Y19" s="127"/>
      <c r="Z19" s="130">
        <f t="shared" si="2"/>
        <v>6327.912500862181</v>
      </c>
      <c r="AA19" s="127"/>
      <c r="AB19" s="130">
        <f t="shared" si="3"/>
        <v>7726.714211579085</v>
      </c>
      <c r="AC19" s="127"/>
      <c r="AD19" s="130">
        <f t="shared" si="4"/>
        <v>915.1212978291736</v>
      </c>
      <c r="AE19" s="127"/>
      <c r="AF19" s="130">
        <f t="shared" si="5"/>
        <v>3050.4043260972453</v>
      </c>
      <c r="AG19" s="127"/>
      <c r="AH19" s="130">
        <f t="shared" si="6"/>
        <v>1601.462271201054</v>
      </c>
      <c r="AI19" s="127"/>
      <c r="AJ19" s="130">
        <f t="shared" si="7"/>
        <v>7320.970382633389</v>
      </c>
      <c r="AK19" s="127"/>
      <c r="AL19" s="130">
        <f t="shared" si="8"/>
        <v>5185.687354365316</v>
      </c>
      <c r="AM19" s="127"/>
      <c r="BM19" s="5" t="s">
        <v>16</v>
      </c>
      <c r="BN19" s="130"/>
    </row>
    <row r="20" spans="1:66" ht="12.75">
      <c r="A20" s="5" t="s">
        <v>17</v>
      </c>
      <c r="B20" s="119">
        <v>0.09225867522452841</v>
      </c>
      <c r="C20" s="135"/>
      <c r="D20" s="130">
        <f t="shared" si="9"/>
        <v>119448.97334567504</v>
      </c>
      <c r="E20" s="127">
        <f t="shared" si="10"/>
        <v>78918.98094600001</v>
      </c>
      <c r="G20" s="5" t="s">
        <v>17</v>
      </c>
      <c r="H20" s="130">
        <f t="shared" si="11"/>
        <v>3509.8973066192593</v>
      </c>
      <c r="I20" s="127"/>
      <c r="J20" s="130">
        <f t="shared" si="12"/>
        <v>2369.180681968</v>
      </c>
      <c r="K20" s="127"/>
      <c r="L20" s="130">
        <f t="shared" si="13"/>
        <v>2160.7805293874812</v>
      </c>
      <c r="M20" s="127"/>
      <c r="N20" s="130">
        <f t="shared" si="14"/>
        <v>3784.108033698889</v>
      </c>
      <c r="O20" s="127"/>
      <c r="P20" s="130">
        <f t="shared" si="15"/>
        <v>3586.1447889683</v>
      </c>
      <c r="Q20" s="127">
        <f>0.67*Q5*Q6</f>
        <v>78918.98094600001</v>
      </c>
      <c r="R20" s="130">
        <f t="shared" si="16"/>
        <v>11187.836634913301</v>
      </c>
      <c r="S20" s="121"/>
      <c r="T20" s="130">
        <f t="shared" si="16"/>
        <v>11187.836634913301</v>
      </c>
      <c r="U20" s="121"/>
      <c r="V20" s="130">
        <f t="shared" si="0"/>
        <v>6356.7253607461935</v>
      </c>
      <c r="W20" s="121"/>
      <c r="X20" s="130">
        <f t="shared" si="1"/>
        <v>13984.795793641626</v>
      </c>
      <c r="Y20" s="121"/>
      <c r="Z20" s="130">
        <f t="shared" si="2"/>
        <v>12077.778185417768</v>
      </c>
      <c r="AA20" s="121"/>
      <c r="AB20" s="130">
        <f t="shared" si="3"/>
        <v>14747.60283693117</v>
      </c>
      <c r="AC20" s="121"/>
      <c r="AD20" s="130">
        <f t="shared" si="4"/>
        <v>1746.6474206820121</v>
      </c>
      <c r="AE20" s="127"/>
      <c r="AF20" s="130">
        <f t="shared" si="5"/>
        <v>5822.15806894004</v>
      </c>
      <c r="AG20" s="127"/>
      <c r="AH20" s="130">
        <f t="shared" si="6"/>
        <v>3056.632986193521</v>
      </c>
      <c r="AI20" s="127"/>
      <c r="AJ20" s="130">
        <f t="shared" si="7"/>
        <v>13973.179365456097</v>
      </c>
      <c r="AK20" s="127"/>
      <c r="AL20" s="130">
        <f t="shared" si="8"/>
        <v>9897.668717198068</v>
      </c>
      <c r="AM20" s="127"/>
      <c r="BM20" s="5" t="s">
        <v>17</v>
      </c>
      <c r="BN20" s="130">
        <f>Q5*Q6</f>
        <v>117789.52380000001</v>
      </c>
    </row>
    <row r="21" spans="1:66" ht="12.75">
      <c r="A21" s="5" t="s">
        <v>18</v>
      </c>
      <c r="B21" s="119">
        <v>0.031468612194953005</v>
      </c>
      <c r="C21" s="135"/>
      <c r="D21" s="130">
        <f t="shared" si="9"/>
        <v>40742.980648186945</v>
      </c>
      <c r="E21" s="127">
        <f t="shared" si="10"/>
        <v>0</v>
      </c>
      <c r="G21" s="5" t="s">
        <v>18</v>
      </c>
      <c r="H21" s="130">
        <f t="shared" si="11"/>
        <v>1197.194701932445</v>
      </c>
      <c r="I21" s="127"/>
      <c r="J21" s="130">
        <f t="shared" si="12"/>
        <v>808.1064238044004</v>
      </c>
      <c r="K21" s="127"/>
      <c r="L21" s="130">
        <f t="shared" si="13"/>
        <v>737.0229883771614</v>
      </c>
      <c r="M21" s="127"/>
      <c r="N21" s="130">
        <f t="shared" si="14"/>
        <v>1290.7255380209172</v>
      </c>
      <c r="O21" s="127"/>
      <c r="P21" s="130">
        <f t="shared" si="15"/>
        <v>1223.202038879828</v>
      </c>
      <c r="Q21" s="127"/>
      <c r="R21" s="130">
        <f t="shared" si="16"/>
        <v>3816.0714047514584</v>
      </c>
      <c r="S21" s="127"/>
      <c r="T21" s="130">
        <f t="shared" si="16"/>
        <v>3816.0714047514584</v>
      </c>
      <c r="U21" s="127"/>
      <c r="V21" s="130">
        <f t="shared" si="0"/>
        <v>2168.2223890633286</v>
      </c>
      <c r="W21" s="127"/>
      <c r="X21" s="130">
        <f t="shared" si="1"/>
        <v>4770.089255939323</v>
      </c>
      <c r="Y21" s="127"/>
      <c r="Z21" s="130">
        <f t="shared" si="2"/>
        <v>4119.622539220325</v>
      </c>
      <c r="AA21" s="127"/>
      <c r="AB21" s="130">
        <f t="shared" si="3"/>
        <v>5030.275942626922</v>
      </c>
      <c r="AC21" s="127"/>
      <c r="AD21" s="130">
        <f t="shared" si="4"/>
        <v>595.7658744718674</v>
      </c>
      <c r="AE21" s="127"/>
      <c r="AF21" s="130">
        <f t="shared" si="5"/>
        <v>1985.886248239558</v>
      </c>
      <c r="AG21" s="127"/>
      <c r="AH21" s="130">
        <f t="shared" si="6"/>
        <v>1042.590280325768</v>
      </c>
      <c r="AI21" s="127"/>
      <c r="AJ21" s="130">
        <f t="shared" si="7"/>
        <v>4766.126995774939</v>
      </c>
      <c r="AK21" s="127"/>
      <c r="AL21" s="130">
        <f t="shared" si="8"/>
        <v>3376.0066220072486</v>
      </c>
      <c r="AM21" s="127"/>
      <c r="BM21" s="5" t="s">
        <v>18</v>
      </c>
      <c r="BN21" s="130"/>
    </row>
    <row r="22" spans="1:66" ht="12.75">
      <c r="A22" s="5" t="s">
        <v>19</v>
      </c>
      <c r="B22" s="119">
        <v>0.018507722854570217</v>
      </c>
      <c r="C22" s="135"/>
      <c r="D22" s="130">
        <f t="shared" si="9"/>
        <v>23962.28309765434</v>
      </c>
      <c r="E22" s="127">
        <f t="shared" si="10"/>
        <v>0</v>
      </c>
      <c r="G22" s="5" t="s">
        <v>19</v>
      </c>
      <c r="H22" s="130">
        <f t="shared" si="11"/>
        <v>704.1094665712372</v>
      </c>
      <c r="I22" s="127"/>
      <c r="J22" s="130">
        <f t="shared" si="12"/>
        <v>475.2738899355851</v>
      </c>
      <c r="K22" s="127"/>
      <c r="L22" s="130">
        <f t="shared" si="13"/>
        <v>433.46739035791785</v>
      </c>
      <c r="M22" s="127"/>
      <c r="N22" s="130">
        <f t="shared" si="14"/>
        <v>759.1180186471152</v>
      </c>
      <c r="O22" s="127"/>
      <c r="P22" s="130">
        <f t="shared" si="15"/>
        <v>719.405234348527</v>
      </c>
      <c r="Q22" s="127"/>
      <c r="R22" s="130">
        <f t="shared" si="16"/>
        <v>2244.3567423579516</v>
      </c>
      <c r="S22" s="127"/>
      <c r="T22" s="130">
        <f t="shared" si="16"/>
        <v>2244.3567423579516</v>
      </c>
      <c r="U22" s="127"/>
      <c r="V22" s="130">
        <f t="shared" si="0"/>
        <v>1275.2026945215634</v>
      </c>
      <c r="W22" s="127"/>
      <c r="X22" s="130">
        <f t="shared" si="1"/>
        <v>2805.44592794744</v>
      </c>
      <c r="Y22" s="127"/>
      <c r="Z22" s="130">
        <f t="shared" si="2"/>
        <v>2422.885119590971</v>
      </c>
      <c r="AA22" s="127"/>
      <c r="AB22" s="130">
        <f t="shared" si="3"/>
        <v>2958.470251290027</v>
      </c>
      <c r="AC22" s="127"/>
      <c r="AD22" s="130">
        <f t="shared" si="4"/>
        <v>350.38944910015465</v>
      </c>
      <c r="AE22" s="127"/>
      <c r="AF22" s="130">
        <f t="shared" si="5"/>
        <v>1167.9648303338488</v>
      </c>
      <c r="AG22" s="127"/>
      <c r="AH22" s="130">
        <f t="shared" si="6"/>
        <v>613.1815359252706</v>
      </c>
      <c r="AI22" s="127"/>
      <c r="AJ22" s="130">
        <f t="shared" si="7"/>
        <v>2803.115592801237</v>
      </c>
      <c r="AK22" s="127"/>
      <c r="AL22" s="130">
        <f t="shared" si="8"/>
        <v>1985.5402115675429</v>
      </c>
      <c r="AM22" s="127"/>
      <c r="BM22" s="5" t="s">
        <v>19</v>
      </c>
      <c r="BN22" s="130"/>
    </row>
    <row r="23" spans="1:66" ht="12.75">
      <c r="A23" s="2" t="s">
        <v>20</v>
      </c>
      <c r="B23" s="119">
        <v>1</v>
      </c>
      <c r="C23" s="135"/>
      <c r="D23" s="130">
        <f>SUM(D8:D22)</f>
        <v>1294718.0636939998</v>
      </c>
      <c r="E23" s="127">
        <f>SUM(E8:E22)</f>
        <v>2628670.0081060003</v>
      </c>
      <c r="G23" s="2" t="s">
        <v>20</v>
      </c>
      <c r="H23" s="130">
        <f>SUM(H8:H22)</f>
        <v>38044.0896</v>
      </c>
      <c r="I23" s="127">
        <f aca="true" t="shared" si="17" ref="I23:Q23">SUM(I8:I22)</f>
        <v>77241.0304</v>
      </c>
      <c r="J23" s="130">
        <f t="shared" si="17"/>
        <v>25679.760479999997</v>
      </c>
      <c r="K23" s="127">
        <f t="shared" si="17"/>
        <v>52137.69552</v>
      </c>
      <c r="L23" s="130">
        <f t="shared" si="17"/>
        <v>23420.892659999994</v>
      </c>
      <c r="M23" s="127">
        <f t="shared" si="17"/>
        <v>47551.509340000004</v>
      </c>
      <c r="N23" s="130">
        <f t="shared" si="17"/>
        <v>41016.2841</v>
      </c>
      <c r="O23" s="127">
        <f t="shared" si="17"/>
        <v>83275.48590000001</v>
      </c>
      <c r="P23" s="130">
        <f t="shared" si="17"/>
        <v>38870.54285399999</v>
      </c>
      <c r="Q23" s="127">
        <f t="shared" si="17"/>
        <v>78918.98094600001</v>
      </c>
      <c r="R23" s="130">
        <f aca="true" t="shared" si="18" ref="R23:AM23">SUM(R8:R22)</f>
        <v>121265.95799999998</v>
      </c>
      <c r="S23" s="127">
        <f t="shared" si="18"/>
        <v>246206.642</v>
      </c>
      <c r="T23" s="130">
        <f t="shared" si="18"/>
        <v>121265.95799999998</v>
      </c>
      <c r="U23" s="127">
        <f t="shared" si="18"/>
        <v>246206.642</v>
      </c>
      <c r="V23" s="130">
        <f t="shared" si="18"/>
        <v>68901.11249999997</v>
      </c>
      <c r="W23" s="127">
        <f t="shared" si="18"/>
        <v>139890.13749999998</v>
      </c>
      <c r="X23" s="130">
        <f t="shared" si="18"/>
        <v>151582.44749999995</v>
      </c>
      <c r="Y23" s="127">
        <f t="shared" si="18"/>
        <v>307758.3025</v>
      </c>
      <c r="Z23" s="130">
        <f t="shared" si="18"/>
        <v>130912.11374999996</v>
      </c>
      <c r="AA23" s="127">
        <f t="shared" si="18"/>
        <v>265791.26125</v>
      </c>
      <c r="AB23" s="130">
        <f t="shared" si="18"/>
        <v>159850.58099999998</v>
      </c>
      <c r="AC23" s="127">
        <f t="shared" si="18"/>
        <v>324545.11899999995</v>
      </c>
      <c r="AD23" s="130">
        <f t="shared" si="18"/>
        <v>18932.067000000003</v>
      </c>
      <c r="AE23" s="127">
        <f t="shared" si="18"/>
        <v>38437.833000000006</v>
      </c>
      <c r="AF23" s="130">
        <f t="shared" si="18"/>
        <v>63106.88999999999</v>
      </c>
      <c r="AG23" s="127">
        <f t="shared" si="18"/>
        <v>128126.11000000002</v>
      </c>
      <c r="AH23" s="130">
        <f t="shared" si="18"/>
        <v>33131.11724999999</v>
      </c>
      <c r="AI23" s="127">
        <f t="shared" si="18"/>
        <v>67266.20775</v>
      </c>
      <c r="AJ23" s="130">
        <f t="shared" si="18"/>
        <v>151456.53600000002</v>
      </c>
      <c r="AK23" s="127">
        <f t="shared" si="18"/>
        <v>307502.66400000005</v>
      </c>
      <c r="AL23" s="130">
        <f t="shared" si="18"/>
        <v>107281.71299999999</v>
      </c>
      <c r="AM23" s="127">
        <f t="shared" si="18"/>
        <v>217814.38700000002</v>
      </c>
      <c r="BM23" s="2" t="s">
        <v>20</v>
      </c>
      <c r="BN23" s="130">
        <f>SUM(BN8:BN22)</f>
        <v>3923388.0718000005</v>
      </c>
    </row>
    <row r="24" spans="4:66" ht="12.75">
      <c r="D24" s="136">
        <f>SUM(H24,J24,L24,N24,P24,R24,T24,V24,X24,Z24,AB24,AD24,AF24,AH24,AJ24,AL24)</f>
        <v>1294718.063694</v>
      </c>
      <c r="E24" s="136">
        <f>SUM(I24,K24,M24,O24,Q24,S24,U24,W24,Y24,AA24,AC24,AE24,AG24,AI24,AK24,AM24)</f>
        <v>2628670.0081060003</v>
      </c>
      <c r="G24" s="11"/>
      <c r="H24" s="131">
        <f>I5*I6*0.33</f>
        <v>38044.08960000001</v>
      </c>
      <c r="I24" s="131">
        <f>I5*I6*0.67</f>
        <v>77241.03040000002</v>
      </c>
      <c r="J24" s="131">
        <f>K5*K6*0.33</f>
        <v>25679.760480000004</v>
      </c>
      <c r="K24" s="131">
        <f>K5*K6*0.67</f>
        <v>52137.69552000001</v>
      </c>
      <c r="L24" s="131">
        <f>M5*M6*0.33</f>
        <v>23420.89266</v>
      </c>
      <c r="M24" s="131">
        <f>M5*M6*0.67</f>
        <v>47551.509340000004</v>
      </c>
      <c r="N24" s="131">
        <f>O5*O6*0.33</f>
        <v>41016.284100000004</v>
      </c>
      <c r="O24" s="131">
        <f>O5*O6*0.67</f>
        <v>83275.48590000001</v>
      </c>
      <c r="P24" s="131">
        <f>Q5*Q6*0.33</f>
        <v>38870.54285400001</v>
      </c>
      <c r="Q24" s="131">
        <f>Q5*Q6*0.67</f>
        <v>78918.98094600001</v>
      </c>
      <c r="R24" s="131">
        <f>S5*S6*0.33</f>
        <v>121265.958</v>
      </c>
      <c r="S24" s="131">
        <f>S5*S6*0.67</f>
        <v>246206.642</v>
      </c>
      <c r="T24" s="131">
        <f>U5*U6*0.33</f>
        <v>121265.958</v>
      </c>
      <c r="U24" s="131">
        <f>U5*U6*0.67</f>
        <v>246206.642</v>
      </c>
      <c r="V24" s="131">
        <f>W5*W6*0.33</f>
        <v>68901.11249999999</v>
      </c>
      <c r="W24" s="131">
        <f>W5*W6*0.67</f>
        <v>139890.13749999998</v>
      </c>
      <c r="X24" s="131">
        <f>Y5*Y6*0.33</f>
        <v>151582.44749999998</v>
      </c>
      <c r="Y24" s="131">
        <f>Y5*Y6*0.67</f>
        <v>307758.3025</v>
      </c>
      <c r="Z24" s="131">
        <f>AA5*AA6*0.33</f>
        <v>130912.11374999999</v>
      </c>
      <c r="AA24" s="131">
        <f>AA5*AA6*0.67</f>
        <v>265791.26125</v>
      </c>
      <c r="AB24" s="131">
        <f>AC5*AC6*0.33</f>
        <v>159850.581</v>
      </c>
      <c r="AC24" s="131">
        <f>AC5*AC6*0.67</f>
        <v>324545.119</v>
      </c>
      <c r="AD24" s="131">
        <f>AE5*AE6*0.33</f>
        <v>18932.067000000003</v>
      </c>
      <c r="AE24" s="131">
        <f>AE5*AE6*0.67</f>
        <v>38437.833000000006</v>
      </c>
      <c r="AF24" s="131">
        <f>AG5*AG6*0.33</f>
        <v>63106.89</v>
      </c>
      <c r="AG24" s="131">
        <f>AG5*AG6*0.67</f>
        <v>128126.11</v>
      </c>
      <c r="AH24" s="131">
        <f>AI5*AI6*0.33</f>
        <v>33131.11725</v>
      </c>
      <c r="AI24" s="131">
        <f>AI5*AI6*0.67</f>
        <v>67266.20775000002</v>
      </c>
      <c r="AJ24" s="131">
        <f>AK5*AK6*0.33</f>
        <v>151456.53600000002</v>
      </c>
      <c r="AK24" s="131">
        <f>AK5*AK6*0.67</f>
        <v>307502.66400000005</v>
      </c>
      <c r="AL24" s="131">
        <f>AM5*AM6*0.33</f>
        <v>107281.71300000002</v>
      </c>
      <c r="AM24" s="131">
        <f>AM5*AM6*0.67</f>
        <v>217814.38700000005</v>
      </c>
      <c r="BN24" s="136">
        <f>SUM(D24:E24)</f>
        <v>3923388.0718</v>
      </c>
    </row>
    <row r="25" ht="20.25">
      <c r="A25" s="15">
        <v>2007</v>
      </c>
    </row>
    <row r="26" spans="1:57" ht="20.25">
      <c r="A26" s="15"/>
      <c r="H26" s="10" t="s">
        <v>398</v>
      </c>
      <c r="I26" t="s">
        <v>57</v>
      </c>
      <c r="J26" s="10" t="s">
        <v>398</v>
      </c>
      <c r="K26" t="s">
        <v>17</v>
      </c>
      <c r="L26" s="10" t="s">
        <v>398</v>
      </c>
      <c r="M26" t="s">
        <v>17</v>
      </c>
      <c r="N26" s="10" t="s">
        <v>398</v>
      </c>
      <c r="O26" t="s">
        <v>142</v>
      </c>
      <c r="P26" s="10" t="s">
        <v>398</v>
      </c>
      <c r="Q26" t="s">
        <v>142</v>
      </c>
      <c r="R26" s="10" t="s">
        <v>398</v>
      </c>
      <c r="S26" t="s">
        <v>142</v>
      </c>
      <c r="T26" s="10" t="s">
        <v>398</v>
      </c>
      <c r="U26" t="s">
        <v>57</v>
      </c>
      <c r="V26" s="10" t="s">
        <v>398</v>
      </c>
      <c r="W26" t="s">
        <v>57</v>
      </c>
      <c r="X26" s="10" t="s">
        <v>398</v>
      </c>
      <c r="Y26" t="s">
        <v>57</v>
      </c>
      <c r="Z26" s="10" t="s">
        <v>398</v>
      </c>
      <c r="AA26" t="s">
        <v>11</v>
      </c>
      <c r="AB26" s="10" t="s">
        <v>398</v>
      </c>
      <c r="AC26" t="s">
        <v>11</v>
      </c>
      <c r="AD26" s="10" t="s">
        <v>398</v>
      </c>
      <c r="AE26" t="s">
        <v>11</v>
      </c>
      <c r="AF26" s="10" t="s">
        <v>398</v>
      </c>
      <c r="AG26" t="s">
        <v>15</v>
      </c>
      <c r="AH26" s="10" t="s">
        <v>398</v>
      </c>
      <c r="AI26" t="s">
        <v>142</v>
      </c>
      <c r="AJ26" s="10" t="s">
        <v>398</v>
      </c>
      <c r="AK26" t="s">
        <v>142</v>
      </c>
      <c r="AL26" s="10" t="s">
        <v>398</v>
      </c>
      <c r="AM26" t="s">
        <v>142</v>
      </c>
      <c r="AN26" s="10" t="s">
        <v>398</v>
      </c>
      <c r="AO26" t="s">
        <v>10</v>
      </c>
      <c r="AP26" s="10" t="s">
        <v>398</v>
      </c>
      <c r="AQ26" t="s">
        <v>10</v>
      </c>
      <c r="AR26" s="10" t="s">
        <v>398</v>
      </c>
      <c r="AS26" t="s">
        <v>10</v>
      </c>
      <c r="AT26" s="10" t="s">
        <v>398</v>
      </c>
      <c r="AU26" t="s">
        <v>10</v>
      </c>
      <c r="AV26" s="10" t="s">
        <v>398</v>
      </c>
      <c r="AW26" t="s">
        <v>10</v>
      </c>
      <c r="AX26" s="10" t="s">
        <v>398</v>
      </c>
      <c r="AY26" t="s">
        <v>10</v>
      </c>
      <c r="AZ26" s="10" t="s">
        <v>398</v>
      </c>
      <c r="BA26" t="s">
        <v>16</v>
      </c>
      <c r="BB26" s="10" t="s">
        <v>398</v>
      </c>
      <c r="BC26" t="s">
        <v>11</v>
      </c>
      <c r="BD26" s="10" t="s">
        <v>398</v>
      </c>
      <c r="BE26" t="s">
        <v>142</v>
      </c>
    </row>
    <row r="27" spans="8:57" ht="57.75" customHeight="1">
      <c r="H27" s="128" t="s">
        <v>395</v>
      </c>
      <c r="I27" s="129" t="str">
        <f>'2006 Apprv Base Plan List'!D10</f>
        <v>Line - South Shreveport - SW Shreveport 138 kV</v>
      </c>
      <c r="J27" s="128" t="s">
        <v>395</v>
      </c>
      <c r="K27" s="129" t="str">
        <f>'2006 Apprv Base Plan List'!D17</f>
        <v>Device - South Waverly</v>
      </c>
      <c r="L27" s="128" t="s">
        <v>395</v>
      </c>
      <c r="M27" s="129" t="str">
        <f>'2006 Apprv Base Plan List'!D18</f>
        <v>Line - Stilwell - Antioch 161 kV</v>
      </c>
      <c r="N27" s="128" t="s">
        <v>395</v>
      </c>
      <c r="O27" s="129" t="str">
        <f>'2006 Apprv Base Plan List'!D40</f>
        <v>Device - Parsons</v>
      </c>
      <c r="P27" s="128" t="s">
        <v>395</v>
      </c>
      <c r="Q27" s="129" t="str">
        <f>'2006 Apprv Base Plan List'!D40</f>
        <v>Device - Parsons</v>
      </c>
      <c r="R27" s="128" t="s">
        <v>395</v>
      </c>
      <c r="S27" s="129" t="str">
        <f>'2006 Apprv Base Plan List'!D41</f>
        <v>Device - Nortonville 69 kV Cap</v>
      </c>
      <c r="T27" s="128" t="s">
        <v>395</v>
      </c>
      <c r="U27" s="129" t="str">
        <f>'2007 Q1 Project List'!C8</f>
        <v>Line - Porter Hill - Elgin Junction</v>
      </c>
      <c r="V27" s="128" t="s">
        <v>395</v>
      </c>
      <c r="W27" s="129" t="str">
        <f>'2007 Q1 Project List'!C9</f>
        <v>Device - Broken Arrow Water</v>
      </c>
      <c r="X27" s="128" t="s">
        <v>395</v>
      </c>
      <c r="Y27" s="129" t="str">
        <f>'2007 Q1 Project List'!C10</f>
        <v>Device - Hobart</v>
      </c>
      <c r="Z27" s="128" t="s">
        <v>395</v>
      </c>
      <c r="AA27" s="129" t="str">
        <f>'2007 Q1 Project List'!C24</f>
        <v>XFR - Carlsbad Int 115 kV - Carlsbad Int 69 kV </v>
      </c>
      <c r="AB27" s="128" t="s">
        <v>395</v>
      </c>
      <c r="AC27" s="129" t="str">
        <f>'2007 Q1 Project List'!C27</f>
        <v>XFR - Gaines Co Int 69 kV - Gaines Co Int 115 kV </v>
      </c>
      <c r="AD27" s="128" t="s">
        <v>395</v>
      </c>
      <c r="AE27" s="129" t="str">
        <f>'2007 Q1 Project List'!C28</f>
        <v>Device - San Andress Sub</v>
      </c>
      <c r="AF27" s="128" t="s">
        <v>395</v>
      </c>
      <c r="AG27" s="129" t="str">
        <f>'2007 Q1 Project List'!C35</f>
        <v>GREENSBURG - JUDSON LARGE 115KV CKT 1</v>
      </c>
      <c r="AH27" s="128" t="s">
        <v>395</v>
      </c>
      <c r="AI27" s="129" t="str">
        <f>'2007 Q1 Project List'!C37</f>
        <v>Line - Golden Plain - Gatz 69 kV Rebuild</v>
      </c>
      <c r="AJ27" s="128" t="s">
        <v>395</v>
      </c>
      <c r="AK27" s="129" t="str">
        <f>'2007 Q1 Project List'!C38</f>
        <v>Line - Hesston - Golden Plain 69 kV Rebuild</v>
      </c>
      <c r="AL27" s="128" t="s">
        <v>395</v>
      </c>
      <c r="AM27" s="129" t="str">
        <f>'2007 Q1 Project List'!C40</f>
        <v>Line - Murry Gill Energy Center - MacArthur 69 kV</v>
      </c>
      <c r="AN27" s="128" t="s">
        <v>395</v>
      </c>
      <c r="AO27" s="129" t="str">
        <f>'2007 Q1 Project List'!C49</f>
        <v>Line - ACME - W Norman 69 kV</v>
      </c>
      <c r="AP27" s="128" t="s">
        <v>395</v>
      </c>
      <c r="AQ27" s="129" t="str">
        <f>'2007 Q1 Project List'!C50</f>
        <v>Device - Cashion 69 kV</v>
      </c>
      <c r="AR27" s="128" t="s">
        <v>395</v>
      </c>
      <c r="AS27" s="129" t="str">
        <f>'2007 Q1 Project List'!C51</f>
        <v>Device - Comanche</v>
      </c>
      <c r="AT27" s="128" t="s">
        <v>395</v>
      </c>
      <c r="AU27" s="129" t="str">
        <f>'2007 Q1 Project List'!C52</f>
        <v>Device - Pink Southwest 138 kV</v>
      </c>
      <c r="AV27" s="128" t="s">
        <v>395</v>
      </c>
      <c r="AW27" s="129" t="str">
        <f>'2007 Q1 Project List'!C54</f>
        <v>Line - Bradley - Rush Springs 69 kV</v>
      </c>
      <c r="AX27" s="128" t="s">
        <v>395</v>
      </c>
      <c r="AY27" s="129" t="str">
        <f>'2007 Q1 Project List'!C55</f>
        <v>Line - Elmore - Wallville 69 kV</v>
      </c>
      <c r="AZ27" s="128" t="s">
        <v>395</v>
      </c>
      <c r="BA27" s="129" t="str">
        <f>'2007 Q1 Project List'!C17</f>
        <v>Line - Lake Road to Industrial Park 161 kV</v>
      </c>
      <c r="BB27" s="128" t="s">
        <v>395</v>
      </c>
      <c r="BC27" s="129" t="str">
        <f>'2007 Q1 Project List'!C33</f>
        <v>XFR - Artesia 115/69 kV</v>
      </c>
      <c r="BD27" s="128" t="s">
        <v>395</v>
      </c>
      <c r="BE27" s="129" t="str">
        <f>'2007 Q1 Project List'!C45</f>
        <v>XFR - County Line 115/69 kV</v>
      </c>
    </row>
    <row r="28" spans="8:57" ht="12.75">
      <c r="H28" s="124" t="s">
        <v>396</v>
      </c>
      <c r="I28" s="126">
        <f>'2006 Apprv Base Plan List'!G10</f>
        <v>130000</v>
      </c>
      <c r="J28" s="124" t="s">
        <v>396</v>
      </c>
      <c r="K28" s="126">
        <f>'2006 Apprv Base Plan List'!G17</f>
        <v>611000</v>
      </c>
      <c r="L28" s="124" t="s">
        <v>396</v>
      </c>
      <c r="M28" s="126">
        <f>'2006 Apprv Base Plan List'!G18</f>
        <v>892600</v>
      </c>
      <c r="N28" s="124" t="s">
        <v>396</v>
      </c>
      <c r="O28" s="126">
        <f>'2006 Apprv Base Plan List'!G39</f>
        <v>1000000</v>
      </c>
      <c r="P28" s="124" t="s">
        <v>396</v>
      </c>
      <c r="Q28" s="126">
        <f>'2006 Apprv Base Plan List'!G40</f>
        <v>525000</v>
      </c>
      <c r="R28" s="124" t="s">
        <v>396</v>
      </c>
      <c r="S28" s="126">
        <f>'2006 Apprv Base Plan List'!G41</f>
        <v>564000</v>
      </c>
      <c r="T28" s="124" t="s">
        <v>396</v>
      </c>
      <c r="U28" s="126">
        <f>'2007 Q1 Project List'!F8</f>
        <v>200000</v>
      </c>
      <c r="V28" s="124" t="s">
        <v>396</v>
      </c>
      <c r="W28" s="126">
        <f>'2007 Q1 Project List'!F9</f>
        <v>550000</v>
      </c>
      <c r="X28" s="124" t="s">
        <v>396</v>
      </c>
      <c r="Y28" s="126">
        <f>'2007 Q1 Project List'!F10</f>
        <v>550000</v>
      </c>
      <c r="Z28" s="124" t="s">
        <v>396</v>
      </c>
      <c r="AA28" s="126">
        <f>'2007 Q1 Project List'!F24</f>
        <v>2750000</v>
      </c>
      <c r="AB28" s="124" t="s">
        <v>396</v>
      </c>
      <c r="AC28" s="126">
        <f>'2007 Q1 Project List'!F27</f>
        <v>2750000</v>
      </c>
      <c r="AD28" s="124" t="s">
        <v>396</v>
      </c>
      <c r="AE28" s="126">
        <f>'2007 Q1 Project List'!F28</f>
        <v>750000</v>
      </c>
      <c r="AF28" s="124" t="s">
        <v>396</v>
      </c>
      <c r="AG28" s="126">
        <f>'2007 Q1 Project List'!F35</f>
        <v>148000</v>
      </c>
      <c r="AH28" s="124" t="s">
        <v>396</v>
      </c>
      <c r="AI28" s="126">
        <f>'2007 Q1 Project List'!F37</f>
        <v>590000</v>
      </c>
      <c r="AJ28" s="124" t="s">
        <v>396</v>
      </c>
      <c r="AK28" s="126">
        <f>'2007 Q1 Project List'!F38</f>
        <v>1250000</v>
      </c>
      <c r="AL28" s="124" t="s">
        <v>396</v>
      </c>
      <c r="AM28" s="126">
        <f>'2007 Q1 Project List'!F40</f>
        <v>143000</v>
      </c>
      <c r="AN28" s="124" t="s">
        <v>396</v>
      </c>
      <c r="AO28" s="126">
        <f>'2007 Q1 Project List'!F49</f>
        <v>912000</v>
      </c>
      <c r="AP28" s="124" t="s">
        <v>396</v>
      </c>
      <c r="AQ28" s="126">
        <f>'2007 Q1 Project List'!F50</f>
        <v>108000</v>
      </c>
      <c r="AR28" s="124" t="s">
        <v>396</v>
      </c>
      <c r="AS28" s="126">
        <f>'2007 Q1 Project List'!F51</f>
        <v>350000</v>
      </c>
      <c r="AT28" s="124" t="s">
        <v>396</v>
      </c>
      <c r="AU28" s="126">
        <f>'2007 Q1 Project List'!F52</f>
        <v>216000</v>
      </c>
      <c r="AV28" s="124" t="s">
        <v>396</v>
      </c>
      <c r="AW28" s="126">
        <f>'2007 Q1 Project List'!F54</f>
        <v>1656000</v>
      </c>
      <c r="AX28" s="124" t="s">
        <v>396</v>
      </c>
      <c r="AY28" s="126">
        <f>'2007 Q1 Project List'!F55</f>
        <v>1488000</v>
      </c>
      <c r="AZ28" s="124" t="s">
        <v>396</v>
      </c>
      <c r="BA28" s="126">
        <f>'2007 Q1 Project List'!F17</f>
        <v>250000</v>
      </c>
      <c r="BB28" s="124" t="s">
        <v>396</v>
      </c>
      <c r="BC28" s="126">
        <f>'2007 Q1 Project List'!F33</f>
        <v>2750000</v>
      </c>
      <c r="BD28" s="124" t="s">
        <v>396</v>
      </c>
      <c r="BE28" s="126">
        <f>'2007 Q1 Project List'!F45</f>
        <v>1700000</v>
      </c>
    </row>
    <row r="29" spans="4:65" ht="12.75">
      <c r="D29" s="98" t="s">
        <v>400</v>
      </c>
      <c r="H29" s="125" t="s">
        <v>397</v>
      </c>
      <c r="I29">
        <f>VLOOKUP(I26,Carry,11)</f>
        <v>0.18013300000000002</v>
      </c>
      <c r="J29" s="125" t="s">
        <v>397</v>
      </c>
      <c r="K29">
        <f>VLOOKUP(K26,Carry,11)</f>
        <v>0.22283300000000003</v>
      </c>
      <c r="L29" s="125" t="s">
        <v>397</v>
      </c>
      <c r="M29">
        <f>VLOOKUP(M26,Carry,11)</f>
        <v>0.22283300000000003</v>
      </c>
      <c r="N29" s="125" t="s">
        <v>397</v>
      </c>
      <c r="O29">
        <f>VLOOKUP(O26,Carry,11)</f>
        <v>0.19123300000000001</v>
      </c>
      <c r="P29" s="125" t="s">
        <v>397</v>
      </c>
      <c r="Q29">
        <f>VLOOKUP(Q26,Carry,11)</f>
        <v>0.19123300000000001</v>
      </c>
      <c r="R29" s="125" t="s">
        <v>397</v>
      </c>
      <c r="S29">
        <f>VLOOKUP(S26,Carry,11)</f>
        <v>0.19123300000000001</v>
      </c>
      <c r="T29" s="125" t="s">
        <v>397</v>
      </c>
      <c r="U29">
        <f>VLOOKUP(U26,Carry,11)</f>
        <v>0.18013300000000002</v>
      </c>
      <c r="V29" s="125" t="s">
        <v>397</v>
      </c>
      <c r="W29">
        <f>VLOOKUP(W26,Carry,11)</f>
        <v>0.18013300000000002</v>
      </c>
      <c r="X29" s="125" t="s">
        <v>397</v>
      </c>
      <c r="Y29">
        <f>VLOOKUP(Y26,Carry,11)</f>
        <v>0.18013300000000002</v>
      </c>
      <c r="Z29" s="125" t="s">
        <v>397</v>
      </c>
      <c r="AA29">
        <f>VLOOKUP(AA26,Carry,11)</f>
        <v>0.167033</v>
      </c>
      <c r="AB29" s="125" t="s">
        <v>397</v>
      </c>
      <c r="AC29">
        <f>VLOOKUP(AC26,Carry,11)</f>
        <v>0.167033</v>
      </c>
      <c r="AD29" s="125" t="s">
        <v>397</v>
      </c>
      <c r="AE29">
        <f>VLOOKUP(AE26,Carry,11)</f>
        <v>0.167033</v>
      </c>
      <c r="AF29" s="125" t="s">
        <v>397</v>
      </c>
      <c r="AG29">
        <f>VLOOKUP(AG26,Carry,11)</f>
        <v>0.19123300000000001</v>
      </c>
      <c r="AH29" s="125" t="s">
        <v>397</v>
      </c>
      <c r="AI29">
        <f>VLOOKUP(AI26,Carry,11)</f>
        <v>0.19123300000000001</v>
      </c>
      <c r="AJ29" s="125" t="s">
        <v>397</v>
      </c>
      <c r="AK29">
        <f>VLOOKUP(AK26,Carry,11)</f>
        <v>0.19123300000000001</v>
      </c>
      <c r="AL29" s="125" t="s">
        <v>397</v>
      </c>
      <c r="AM29">
        <f>VLOOKUP(AM26,Carry,11)</f>
        <v>0.19123300000000001</v>
      </c>
      <c r="AN29" s="125" t="s">
        <v>397</v>
      </c>
      <c r="AO29">
        <f>VLOOKUP(AO26,Carry,11)</f>
        <v>0.182433</v>
      </c>
      <c r="AP29" s="125" t="s">
        <v>397</v>
      </c>
      <c r="AQ29">
        <f>VLOOKUP(AQ26,Carry,11)</f>
        <v>0.182433</v>
      </c>
      <c r="AR29" s="125" t="s">
        <v>397</v>
      </c>
      <c r="AS29">
        <f>VLOOKUP(AS26,Carry,11)</f>
        <v>0.182433</v>
      </c>
      <c r="AT29" s="125" t="s">
        <v>397</v>
      </c>
      <c r="AU29">
        <f>VLOOKUP(AU26,Carry,11)</f>
        <v>0.182433</v>
      </c>
      <c r="AV29" s="125" t="s">
        <v>397</v>
      </c>
      <c r="AW29">
        <f>VLOOKUP(AW26,Carry,11)</f>
        <v>0.182433</v>
      </c>
      <c r="AX29" s="125" t="s">
        <v>397</v>
      </c>
      <c r="AY29">
        <f>VLOOKUP(AY26,Carry,11)</f>
        <v>0.182433</v>
      </c>
      <c r="AZ29" s="125" t="s">
        <v>397</v>
      </c>
      <c r="BA29">
        <f>VLOOKUP(BA26,Carry,11)</f>
        <v>0.17483299999999996</v>
      </c>
      <c r="BB29" s="125" t="s">
        <v>397</v>
      </c>
      <c r="BC29">
        <f>VLOOKUP(BC26,Carry,11)</f>
        <v>0.167033</v>
      </c>
      <c r="BD29" s="125" t="s">
        <v>397</v>
      </c>
      <c r="BE29">
        <f>VLOOKUP(BE26,Carry,11)</f>
        <v>0.19123300000000001</v>
      </c>
      <c r="BM29" s="10" t="s">
        <v>449</v>
      </c>
    </row>
    <row r="30" spans="1:66" ht="25.5">
      <c r="A30" s="120" t="s">
        <v>1</v>
      </c>
      <c r="B30" s="94" t="s">
        <v>394</v>
      </c>
      <c r="C30" s="133"/>
      <c r="D30" s="94" t="s">
        <v>362</v>
      </c>
      <c r="E30" s="94" t="s">
        <v>363</v>
      </c>
      <c r="G30" s="2" t="s">
        <v>1</v>
      </c>
      <c r="H30" s="94" t="s">
        <v>362</v>
      </c>
      <c r="I30" s="94" t="s">
        <v>363</v>
      </c>
      <c r="J30" s="94" t="s">
        <v>362</v>
      </c>
      <c r="K30" s="94" t="s">
        <v>363</v>
      </c>
      <c r="L30" s="94" t="s">
        <v>362</v>
      </c>
      <c r="M30" s="94" t="s">
        <v>363</v>
      </c>
      <c r="N30" s="94" t="s">
        <v>362</v>
      </c>
      <c r="O30" s="94" t="s">
        <v>363</v>
      </c>
      <c r="P30" s="94" t="s">
        <v>362</v>
      </c>
      <c r="Q30" s="94" t="s">
        <v>363</v>
      </c>
      <c r="R30" s="94" t="s">
        <v>362</v>
      </c>
      <c r="S30" s="94" t="s">
        <v>363</v>
      </c>
      <c r="T30" s="94" t="s">
        <v>362</v>
      </c>
      <c r="U30" s="94" t="s">
        <v>363</v>
      </c>
      <c r="V30" s="94" t="s">
        <v>362</v>
      </c>
      <c r="W30" s="94" t="s">
        <v>363</v>
      </c>
      <c r="X30" s="94" t="s">
        <v>362</v>
      </c>
      <c r="Y30" s="94" t="s">
        <v>363</v>
      </c>
      <c r="Z30" s="94" t="s">
        <v>362</v>
      </c>
      <c r="AA30" s="94" t="s">
        <v>363</v>
      </c>
      <c r="AB30" s="94" t="s">
        <v>362</v>
      </c>
      <c r="AC30" s="94" t="s">
        <v>363</v>
      </c>
      <c r="AD30" s="94" t="s">
        <v>362</v>
      </c>
      <c r="AE30" s="94" t="s">
        <v>363</v>
      </c>
      <c r="AF30" s="94" t="s">
        <v>362</v>
      </c>
      <c r="AG30" s="94" t="s">
        <v>363</v>
      </c>
      <c r="AH30" s="94" t="s">
        <v>362</v>
      </c>
      <c r="AI30" s="94" t="s">
        <v>363</v>
      </c>
      <c r="AJ30" s="94" t="s">
        <v>362</v>
      </c>
      <c r="AK30" s="94" t="s">
        <v>363</v>
      </c>
      <c r="AL30" s="94" t="s">
        <v>362</v>
      </c>
      <c r="AM30" s="94" t="s">
        <v>363</v>
      </c>
      <c r="AN30" s="94" t="s">
        <v>362</v>
      </c>
      <c r="AO30" s="94" t="s">
        <v>363</v>
      </c>
      <c r="AP30" s="94" t="s">
        <v>362</v>
      </c>
      <c r="AQ30" s="94" t="s">
        <v>363</v>
      </c>
      <c r="AR30" s="94" t="s">
        <v>362</v>
      </c>
      <c r="AS30" s="94" t="s">
        <v>363</v>
      </c>
      <c r="AT30" s="94" t="s">
        <v>362</v>
      </c>
      <c r="AU30" s="94" t="s">
        <v>363</v>
      </c>
      <c r="AV30" s="94" t="s">
        <v>362</v>
      </c>
      <c r="AW30" s="94" t="s">
        <v>363</v>
      </c>
      <c r="AX30" s="94" t="s">
        <v>362</v>
      </c>
      <c r="AY30" s="94" t="s">
        <v>363</v>
      </c>
      <c r="AZ30" s="94" t="s">
        <v>362</v>
      </c>
      <c r="BA30" s="94" t="s">
        <v>363</v>
      </c>
      <c r="BB30" s="94" t="s">
        <v>362</v>
      </c>
      <c r="BC30" s="94" t="s">
        <v>363</v>
      </c>
      <c r="BD30" s="94" t="s">
        <v>362</v>
      </c>
      <c r="BE30" s="94" t="s">
        <v>363</v>
      </c>
      <c r="BM30" s="120" t="s">
        <v>1</v>
      </c>
      <c r="BN30" s="94" t="s">
        <v>448</v>
      </c>
    </row>
    <row r="31" spans="1:66" ht="12.75">
      <c r="A31" s="5" t="s">
        <v>5</v>
      </c>
      <c r="B31" s="5"/>
      <c r="C31" s="134"/>
      <c r="D31" s="130"/>
      <c r="E31" s="127"/>
      <c r="G31" s="5" t="s">
        <v>5</v>
      </c>
      <c r="H31" s="122"/>
      <c r="I31" s="123"/>
      <c r="J31" s="122"/>
      <c r="K31" s="123"/>
      <c r="L31" s="122"/>
      <c r="M31" s="123"/>
      <c r="N31" s="122"/>
      <c r="O31" s="123"/>
      <c r="P31" s="122"/>
      <c r="Q31" s="123"/>
      <c r="R31" s="122"/>
      <c r="S31" s="123"/>
      <c r="T31" s="122"/>
      <c r="U31" s="123"/>
      <c r="V31" s="122"/>
      <c r="W31" s="123"/>
      <c r="X31" s="122"/>
      <c r="Y31" s="123"/>
      <c r="Z31" s="122"/>
      <c r="AA31" s="123"/>
      <c r="AB31" s="122"/>
      <c r="AC31" s="123"/>
      <c r="AD31" s="122"/>
      <c r="AE31" s="123"/>
      <c r="AF31" s="122"/>
      <c r="AG31" s="123"/>
      <c r="AH31" s="122"/>
      <c r="AI31" s="123"/>
      <c r="AJ31" s="122"/>
      <c r="AK31" s="123"/>
      <c r="AL31" s="122"/>
      <c r="AM31" s="123"/>
      <c r="AN31" s="122"/>
      <c r="AO31" s="123"/>
      <c r="AP31" s="122"/>
      <c r="AQ31" s="123"/>
      <c r="AR31" s="122"/>
      <c r="AS31" s="123"/>
      <c r="AT31" s="122"/>
      <c r="AU31" s="123"/>
      <c r="AV31" s="122"/>
      <c r="AW31" s="123"/>
      <c r="AX31" s="122"/>
      <c r="AY31" s="123"/>
      <c r="AZ31" s="122"/>
      <c r="BA31" s="123"/>
      <c r="BB31" s="122"/>
      <c r="BC31" s="123"/>
      <c r="BD31" s="122"/>
      <c r="BE31" s="123"/>
      <c r="BM31" s="5" t="s">
        <v>5</v>
      </c>
      <c r="BN31" s="177" t="s">
        <v>56</v>
      </c>
    </row>
    <row r="32" spans="1:66" ht="12.75">
      <c r="A32" s="5" t="s">
        <v>6</v>
      </c>
      <c r="B32" s="5"/>
      <c r="C32" s="134"/>
      <c r="D32" s="130"/>
      <c r="E32" s="127"/>
      <c r="G32" s="5" t="s">
        <v>6</v>
      </c>
      <c r="H32" s="122"/>
      <c r="I32" s="123"/>
      <c r="J32" s="122"/>
      <c r="K32" s="123"/>
      <c r="L32" s="122"/>
      <c r="M32" s="123"/>
      <c r="N32" s="122"/>
      <c r="O32" s="123"/>
      <c r="P32" s="122"/>
      <c r="Q32" s="123"/>
      <c r="R32" s="122"/>
      <c r="S32" s="123"/>
      <c r="T32" s="122"/>
      <c r="U32" s="123"/>
      <c r="V32" s="122"/>
      <c r="W32" s="123"/>
      <c r="X32" s="122"/>
      <c r="Y32" s="123"/>
      <c r="Z32" s="122"/>
      <c r="AA32" s="123"/>
      <c r="AB32" s="122"/>
      <c r="AC32" s="123"/>
      <c r="AD32" s="122"/>
      <c r="AE32" s="123"/>
      <c r="AF32" s="122"/>
      <c r="AG32" s="123"/>
      <c r="AH32" s="122"/>
      <c r="AI32" s="123"/>
      <c r="AJ32" s="122"/>
      <c r="AK32" s="123"/>
      <c r="AL32" s="122"/>
      <c r="AM32" s="123"/>
      <c r="AN32" s="122"/>
      <c r="AO32" s="123"/>
      <c r="AP32" s="122"/>
      <c r="AQ32" s="123"/>
      <c r="AR32" s="122"/>
      <c r="AS32" s="123"/>
      <c r="AT32" s="122"/>
      <c r="AU32" s="123"/>
      <c r="AV32" s="122"/>
      <c r="AW32" s="123"/>
      <c r="AX32" s="122"/>
      <c r="AY32" s="123"/>
      <c r="AZ32" s="122"/>
      <c r="BA32" s="123"/>
      <c r="BB32" s="122"/>
      <c r="BC32" s="123"/>
      <c r="BD32" s="122"/>
      <c r="BE32" s="123"/>
      <c r="BM32" s="5" t="s">
        <v>6</v>
      </c>
      <c r="BN32" s="177" t="s">
        <v>56</v>
      </c>
    </row>
    <row r="33" spans="1:66" ht="12.75">
      <c r="A33" s="5" t="s">
        <v>7</v>
      </c>
      <c r="B33" s="119">
        <v>0.26842691570660077</v>
      </c>
      <c r="C33" s="135"/>
      <c r="D33" s="130">
        <f>SUM(H33,J33,L33,N33,P33,R33,T33,V33,X33,Z33,AB33,AD33,AF33,AH33,AJ33,AL33,AN33,AP33,AR33,AT33,AV33,AX33,AZ33,BB33,BD33)</f>
        <v>366251.3509986301</v>
      </c>
      <c r="E33" s="127">
        <f>SUM(I33,K33,M33,O33,Q33,S33,U33,W33,Y33,AA33,AC33,AE33,AG33,AI33,AK33,AM33,AO33,AQ33,AS33,AU33,AW33,AY33,BA33,BC33,BE33)</f>
        <v>172585.4273</v>
      </c>
      <c r="G33" s="5" t="s">
        <v>7</v>
      </c>
      <c r="H33" s="130">
        <f>0.33*$I$28*$I$29*B33</f>
        <v>2074.3242065393183</v>
      </c>
      <c r="I33" s="127">
        <f>0.67*I$28*I$29</f>
        <v>15689.5843</v>
      </c>
      <c r="J33" s="130">
        <f>0.33*$K$28*$K$29*B33</f>
        <v>12060.372412629264</v>
      </c>
      <c r="K33" s="127"/>
      <c r="L33" s="130">
        <f>0.33*$M$28*$M$29*B33</f>
        <v>17618.802644047268</v>
      </c>
      <c r="M33" s="127"/>
      <c r="N33" s="130">
        <f>0.33*O$28*O$29*$B33</f>
        <v>16939.58784253573</v>
      </c>
      <c r="O33" s="127"/>
      <c r="P33" s="130">
        <f>0.33*Q$28*Q$29*$B33</f>
        <v>8893.283617331257</v>
      </c>
      <c r="Q33" s="127"/>
      <c r="R33" s="130">
        <f>0.33*S$28*S$29*$B33</f>
        <v>9553.92754319015</v>
      </c>
      <c r="S33" s="127"/>
      <c r="T33" s="130">
        <f>0.33*U$28*U$29*$B33</f>
        <v>3191.26801006049</v>
      </c>
      <c r="U33" s="127">
        <f>0.67*U28*U29</f>
        <v>24137.822000000004</v>
      </c>
      <c r="V33" s="130">
        <f>0.33*W$28*W$29*$B33</f>
        <v>8775.987027666346</v>
      </c>
      <c r="W33" s="127">
        <f>0.67*W28*W29</f>
        <v>66379.0105</v>
      </c>
      <c r="X33" s="130">
        <f>0.33*Y$28*Y$29*$B33</f>
        <v>8775.987027666346</v>
      </c>
      <c r="Y33" s="127">
        <f>0.67*Y28*Y29</f>
        <v>66379.0105</v>
      </c>
      <c r="Z33" s="130">
        <f>0.33*AA$28*AA$29*$B33</f>
        <v>40688.80885768273</v>
      </c>
      <c r="AA33" s="127"/>
      <c r="AB33" s="130">
        <f>0.33*AC$28*AC$29*$B33</f>
        <v>40688.80885768273</v>
      </c>
      <c r="AC33" s="127"/>
      <c r="AD33" s="130">
        <f>0.33*AE$28*AE$29*$B33</f>
        <v>11096.947870277108</v>
      </c>
      <c r="AE33" s="127"/>
      <c r="AF33" s="130">
        <f>0.33*AG$28*AG$29*$B33</f>
        <v>2507.059000695288</v>
      </c>
      <c r="AG33" s="127"/>
      <c r="AH33" s="130">
        <f>0.33*AI$28*AI$29*$B33</f>
        <v>9994.356827096079</v>
      </c>
      <c r="AI33" s="127"/>
      <c r="AJ33" s="130">
        <f>0.33*AK$28*AK$29*$B33</f>
        <v>21174.48480316966</v>
      </c>
      <c r="AK33" s="127"/>
      <c r="AL33" s="130">
        <f>0.33*AM$28*AM$29*$B33</f>
        <v>2422.361061482609</v>
      </c>
      <c r="AM33" s="127"/>
      <c r="AN33" s="130">
        <f>0.33*AO$28*AO$29*$B33</f>
        <v>14737.989384343267</v>
      </c>
      <c r="AO33" s="127"/>
      <c r="AP33" s="130">
        <f>0.33*AQ$28*AQ$29*$B33</f>
        <v>1745.2882165669662</v>
      </c>
      <c r="AQ33" s="127"/>
      <c r="AR33" s="130">
        <f>0.33*AS$28*AS$29*$B33</f>
        <v>5656.026627763315</v>
      </c>
      <c r="AS33" s="127"/>
      <c r="AT33" s="130">
        <f>0.33*AU$28*AU$29*$B33</f>
        <v>3490.5764331339324</v>
      </c>
      <c r="AU33" s="127"/>
      <c r="AV33" s="130">
        <f>0.33*AW$28*AW$29*$B33</f>
        <v>26761.085987360148</v>
      </c>
      <c r="AW33" s="127"/>
      <c r="AX33" s="130">
        <f>0.33*AY$28*AY$29*$B33</f>
        <v>24046.193206033753</v>
      </c>
      <c r="AY33" s="127"/>
      <c r="AZ33" s="130">
        <f>0.33*BA$28*BA$29*$B33</f>
        <v>3871.7153436829</v>
      </c>
      <c r="BA33" s="127"/>
      <c r="BB33" s="130">
        <f>0.33*BC$28*BC$29*$B33</f>
        <v>40688.80885768273</v>
      </c>
      <c r="BC33" s="127"/>
      <c r="BD33" s="130">
        <f>0.33*BE$28*BE$29*$B33</f>
        <v>28797.299332310737</v>
      </c>
      <c r="BE33" s="127"/>
      <c r="BM33" s="5" t="s">
        <v>7</v>
      </c>
      <c r="BN33" s="130">
        <f>I28*I29+U28*U29+W28*W29+Y28*Y29</f>
        <v>257590.19</v>
      </c>
    </row>
    <row r="34" spans="1:66" ht="12.75">
      <c r="A34" s="5" t="s">
        <v>8</v>
      </c>
      <c r="B34" s="119">
        <v>0.023359037702306462</v>
      </c>
      <c r="C34" s="135"/>
      <c r="D34" s="130">
        <f aca="true" t="shared" si="19" ref="D34:D45">SUM(H34,J34,L34,N34,P34,R34,T34,V34,X34,Z34,AB34,AD34,AF34,AH34,AJ34,AL34,AN34,AP34,AR34,AT34,AV34,AX34,AZ34,BB34,BD34)</f>
        <v>31871.91230051189</v>
      </c>
      <c r="E34" s="127">
        <f aca="true" t="shared" si="20" ref="E34:E45">SUM(I34,K34,M34,O34,Q34,S34,U34,W34,Y34,AA34,AC34,AE34,AG34,AI34,AK34,AM34,AO34,AQ34,AS34,AU34,AW34,AY34,BA34,BC34,BE34)</f>
        <v>0</v>
      </c>
      <c r="G34" s="5" t="s">
        <v>8</v>
      </c>
      <c r="H34" s="130">
        <f aca="true" t="shared" si="21" ref="H34:H45">0.33*$I$28*$I$29*B34</f>
        <v>180.51176879862857</v>
      </c>
      <c r="I34" s="127"/>
      <c r="J34" s="130">
        <f aca="true" t="shared" si="22" ref="J34:J45">0.33*$K$28*$K$29*B34</f>
        <v>1049.5173077143697</v>
      </c>
      <c r="K34" s="127"/>
      <c r="L34" s="130">
        <f aca="true" t="shared" si="23" ref="L34:L45">0.33*$M$28*$M$29*B34</f>
        <v>1533.2228295676703</v>
      </c>
      <c r="M34" s="127"/>
      <c r="N34" s="130">
        <f aca="true" t="shared" si="24" ref="N34:N45">0.33*O$28*O$29*$B34</f>
        <v>1474.1162227853067</v>
      </c>
      <c r="O34" s="127"/>
      <c r="P34" s="130">
        <f aca="true" t="shared" si="25" ref="P34:R45">0.33*Q$28*Q$29*$B34</f>
        <v>773.9110169622861</v>
      </c>
      <c r="Q34" s="127"/>
      <c r="R34" s="130">
        <f t="shared" si="25"/>
        <v>831.401549650913</v>
      </c>
      <c r="S34" s="127"/>
      <c r="T34" s="130">
        <f aca="true" t="shared" si="26" ref="T34:T45">0.33*U$28*U$29*$B34</f>
        <v>277.7104135363516</v>
      </c>
      <c r="U34" s="127"/>
      <c r="V34" s="130">
        <f aca="true" t="shared" si="27" ref="V34:V45">0.33*W$28*W$29*$B34</f>
        <v>763.703637224967</v>
      </c>
      <c r="W34" s="127"/>
      <c r="X34" s="130">
        <f aca="true" t="shared" si="28" ref="X34:X45">0.33*Y$28*Y$29*$B34</f>
        <v>763.703637224967</v>
      </c>
      <c r="Y34" s="127"/>
      <c r="Z34" s="130">
        <f aca="true" t="shared" si="29" ref="Z34:Z45">0.33*AA$28*AA$29*$B34</f>
        <v>3540.8201061603895</v>
      </c>
      <c r="AA34" s="127"/>
      <c r="AB34" s="130">
        <f aca="true" t="shared" si="30" ref="AB34:AB45">0.33*AC$28*AC$29*$B34</f>
        <v>3540.8201061603895</v>
      </c>
      <c r="AC34" s="127"/>
      <c r="AD34" s="130">
        <f aca="true" t="shared" si="31" ref="AD34:AD45">0.33*AE$28*AE$29*$B34</f>
        <v>965.6782107710153</v>
      </c>
      <c r="AE34" s="127"/>
      <c r="AF34" s="130">
        <f aca="true" t="shared" si="32" ref="AF34:AF45">0.33*AG$28*AG$29*$B34</f>
        <v>218.1692009722254</v>
      </c>
      <c r="AG34" s="127"/>
      <c r="AH34" s="130">
        <f aca="true" t="shared" si="33" ref="AH34:AH45">0.33*AI$28*AI$29*$B34</f>
        <v>869.7285714433309</v>
      </c>
      <c r="AI34" s="127"/>
      <c r="AJ34" s="130">
        <f aca="true" t="shared" si="34" ref="AJ34:AJ45">0.33*AK$28*AK$29*$B34</f>
        <v>1842.6452784816333</v>
      </c>
      <c r="AK34" s="127"/>
      <c r="AL34" s="130">
        <f aca="true" t="shared" si="35" ref="AL34:AL45">0.33*AM$28*AM$29*$B34</f>
        <v>210.79861985829885</v>
      </c>
      <c r="AM34" s="127"/>
      <c r="AN34" s="130">
        <f aca="true" t="shared" si="36" ref="AN34:AN45">0.33*AO$28*AO$29*$B34</f>
        <v>1282.5287984956014</v>
      </c>
      <c r="AO34" s="127"/>
      <c r="AP34" s="130">
        <f aca="true" t="shared" si="37" ref="AP34:AP45">0.33*AQ$28*AQ$29*$B34</f>
        <v>151.87841034816336</v>
      </c>
      <c r="AQ34" s="127"/>
      <c r="AR34" s="130">
        <f aca="true" t="shared" si="38" ref="AR34:AR45">0.33*AS$28*AS$29*$B34</f>
        <v>492.19855205423306</v>
      </c>
      <c r="AS34" s="127"/>
      <c r="AT34" s="130">
        <f aca="true" t="shared" si="39" ref="AT34:AT45">0.33*AU$28*AU$29*$B34</f>
        <v>303.7568206963267</v>
      </c>
      <c r="AU34" s="127"/>
      <c r="AV34" s="130">
        <f aca="true" t="shared" si="40" ref="AV34:AV45">0.33*AW$28*AW$29*$B34</f>
        <v>2328.8022920051712</v>
      </c>
      <c r="AW34" s="127"/>
      <c r="AX34" s="130">
        <f aca="true" t="shared" si="41" ref="AX34:AX45">0.33*AY$28*AY$29*$B34</f>
        <v>2092.546987019139</v>
      </c>
      <c r="AY34" s="127"/>
      <c r="AZ34" s="130">
        <f aca="true" t="shared" si="42" ref="AZ34:AZ45">0.33*BA$28*BA$29*$B34</f>
        <v>336.92427768510595</v>
      </c>
      <c r="BA34" s="127"/>
      <c r="BB34" s="130">
        <f aca="true" t="shared" si="43" ref="BB34:BB45">0.33*BC$28*BC$29*$B34</f>
        <v>3540.8201061603895</v>
      </c>
      <c r="BC34" s="127"/>
      <c r="BD34" s="130">
        <f aca="true" t="shared" si="44" ref="BD34:BD45">0.33*BE$28*BE$29*$B34</f>
        <v>2505.9975787350213</v>
      </c>
      <c r="BE34" s="127"/>
      <c r="BM34" s="5" t="s">
        <v>8</v>
      </c>
      <c r="BN34" s="130"/>
    </row>
    <row r="35" spans="1:66" ht="12.75">
      <c r="A35" s="5" t="s">
        <v>9</v>
      </c>
      <c r="B35" s="119">
        <v>0.1693140627525223</v>
      </c>
      <c r="C35" s="135"/>
      <c r="D35" s="130">
        <f t="shared" si="19"/>
        <v>231018.20494766888</v>
      </c>
      <c r="E35" s="127">
        <f t="shared" si="20"/>
        <v>0</v>
      </c>
      <c r="G35" s="5" t="s">
        <v>9</v>
      </c>
      <c r="H35" s="130">
        <f t="shared" si="21"/>
        <v>1308.4092478228245</v>
      </c>
      <c r="I35" s="127"/>
      <c r="J35" s="130">
        <f t="shared" si="22"/>
        <v>7607.249988755455</v>
      </c>
      <c r="K35" s="127"/>
      <c r="L35" s="130">
        <f t="shared" si="23"/>
        <v>11113.308248712143</v>
      </c>
      <c r="M35" s="127"/>
      <c r="N35" s="130">
        <f t="shared" si="24"/>
        <v>10684.883933576524</v>
      </c>
      <c r="O35" s="127"/>
      <c r="P35" s="130">
        <f t="shared" si="25"/>
        <v>5609.564065127674</v>
      </c>
      <c r="Q35" s="127"/>
      <c r="R35" s="130">
        <f t="shared" si="25"/>
        <v>6026.274538537159</v>
      </c>
      <c r="S35" s="127"/>
      <c r="T35" s="130">
        <f t="shared" si="26"/>
        <v>2012.9373043428068</v>
      </c>
      <c r="U35" s="127"/>
      <c r="V35" s="130">
        <f t="shared" si="27"/>
        <v>5535.577586942719</v>
      </c>
      <c r="W35" s="127"/>
      <c r="X35" s="130">
        <f t="shared" si="28"/>
        <v>5535.577586942719</v>
      </c>
      <c r="Y35" s="127"/>
      <c r="Z35" s="130">
        <f t="shared" si="29"/>
        <v>25665.040028195916</v>
      </c>
      <c r="AA35" s="127"/>
      <c r="AB35" s="130">
        <f t="shared" si="30"/>
        <v>25665.040028195916</v>
      </c>
      <c r="AC35" s="127"/>
      <c r="AD35" s="130">
        <f t="shared" si="31"/>
        <v>6999.556371326159</v>
      </c>
      <c r="AE35" s="127"/>
      <c r="AF35" s="130">
        <f t="shared" si="32"/>
        <v>1581.3628221693257</v>
      </c>
      <c r="AG35" s="127"/>
      <c r="AH35" s="130">
        <f t="shared" si="33"/>
        <v>6304.0815208101485</v>
      </c>
      <c r="AI35" s="127"/>
      <c r="AJ35" s="130">
        <f t="shared" si="34"/>
        <v>13356.104916970653</v>
      </c>
      <c r="AK35" s="127"/>
      <c r="AL35" s="130">
        <f t="shared" si="35"/>
        <v>1527.9384025014429</v>
      </c>
      <c r="AM35" s="127"/>
      <c r="AN35" s="130">
        <f t="shared" si="36"/>
        <v>9296.194656552996</v>
      </c>
      <c r="AO35" s="127"/>
      <c r="AP35" s="130">
        <f t="shared" si="37"/>
        <v>1100.8651566970655</v>
      </c>
      <c r="AQ35" s="127"/>
      <c r="AR35" s="130">
        <f t="shared" si="38"/>
        <v>3567.6185633701193</v>
      </c>
      <c r="AS35" s="127"/>
      <c r="AT35" s="130">
        <f t="shared" si="39"/>
        <v>2201.730313394131</v>
      </c>
      <c r="AU35" s="127"/>
      <c r="AV35" s="130">
        <f t="shared" si="40"/>
        <v>16879.932402688337</v>
      </c>
      <c r="AW35" s="127"/>
      <c r="AX35" s="130">
        <f t="shared" si="41"/>
        <v>15167.475492270678</v>
      </c>
      <c r="AY35" s="127"/>
      <c r="AZ35" s="130">
        <f t="shared" si="42"/>
        <v>2442.1390564899675</v>
      </c>
      <c r="BA35" s="127"/>
      <c r="BB35" s="130">
        <f t="shared" si="43"/>
        <v>25665.040028195916</v>
      </c>
      <c r="BC35" s="127"/>
      <c r="BD35" s="130">
        <f t="shared" si="44"/>
        <v>18164.30268708009</v>
      </c>
      <c r="BE35" s="127"/>
      <c r="BM35" s="5" t="s">
        <v>9</v>
      </c>
      <c r="BN35" s="130"/>
    </row>
    <row r="36" spans="1:66" ht="12.75">
      <c r="A36" s="5" t="s">
        <v>10</v>
      </c>
      <c r="B36" s="119">
        <v>0.037757139888717005</v>
      </c>
      <c r="C36" s="135"/>
      <c r="D36" s="130">
        <f t="shared" si="19"/>
        <v>51517.201461279605</v>
      </c>
      <c r="E36" s="127">
        <f t="shared" si="20"/>
        <v>578148.4203000001</v>
      </c>
      <c r="G36" s="5" t="s">
        <v>10</v>
      </c>
      <c r="H36" s="130">
        <f t="shared" si="21"/>
        <v>291.77606513373576</v>
      </c>
      <c r="I36" s="127"/>
      <c r="J36" s="130">
        <f t="shared" si="22"/>
        <v>1696.4214154715962</v>
      </c>
      <c r="K36" s="127"/>
      <c r="L36" s="130">
        <f t="shared" si="23"/>
        <v>2478.2745588378834</v>
      </c>
      <c r="M36" s="127"/>
      <c r="N36" s="130">
        <f t="shared" si="24"/>
        <v>2382.7356736718766</v>
      </c>
      <c r="O36" s="127"/>
      <c r="P36" s="130">
        <f t="shared" si="25"/>
        <v>1250.9362286777352</v>
      </c>
      <c r="Q36" s="127"/>
      <c r="R36" s="130">
        <f t="shared" si="25"/>
        <v>1343.8629199509382</v>
      </c>
      <c r="S36" s="127"/>
      <c r="T36" s="130">
        <f t="shared" si="26"/>
        <v>448.8862540519012</v>
      </c>
      <c r="U36" s="127"/>
      <c r="V36" s="130">
        <f t="shared" si="27"/>
        <v>1234.4371986427282</v>
      </c>
      <c r="W36" s="127"/>
      <c r="X36" s="130">
        <f t="shared" si="28"/>
        <v>1234.4371986427282</v>
      </c>
      <c r="Y36" s="127"/>
      <c r="Z36" s="130">
        <f t="shared" si="29"/>
        <v>5723.3196749316</v>
      </c>
      <c r="AA36" s="127"/>
      <c r="AB36" s="130">
        <f t="shared" si="30"/>
        <v>5723.3196749316</v>
      </c>
      <c r="AC36" s="127"/>
      <c r="AD36" s="130">
        <f t="shared" si="31"/>
        <v>1560.9053658904365</v>
      </c>
      <c r="AE36" s="127"/>
      <c r="AF36" s="130">
        <f t="shared" si="32"/>
        <v>352.6448797034377</v>
      </c>
      <c r="AG36" s="127"/>
      <c r="AH36" s="130">
        <f t="shared" si="33"/>
        <v>1405.814047466407</v>
      </c>
      <c r="AI36" s="127"/>
      <c r="AJ36" s="130">
        <f t="shared" si="34"/>
        <v>2978.4195920898455</v>
      </c>
      <c r="AK36" s="127"/>
      <c r="AL36" s="130">
        <f t="shared" si="35"/>
        <v>340.7312013350783</v>
      </c>
      <c r="AM36" s="127"/>
      <c r="AN36" s="130">
        <f t="shared" si="36"/>
        <v>2073.0571127647586</v>
      </c>
      <c r="AO36" s="127">
        <f>0.67*AO28*AO29</f>
        <v>111473.86032</v>
      </c>
      <c r="AP36" s="130">
        <f t="shared" si="37"/>
        <v>245.49360545898458</v>
      </c>
      <c r="AQ36" s="127">
        <f>0.67*AQ28*AQ29</f>
        <v>13200.85188</v>
      </c>
      <c r="AR36" s="130">
        <f t="shared" si="38"/>
        <v>795.5811288022647</v>
      </c>
      <c r="AS36" s="127">
        <f>0.67*AS28*AS29</f>
        <v>42780.5385</v>
      </c>
      <c r="AT36" s="130">
        <f t="shared" si="39"/>
        <v>490.98721091796915</v>
      </c>
      <c r="AU36" s="127">
        <f>0.67*AU28*AU29</f>
        <v>26401.70376</v>
      </c>
      <c r="AV36" s="130">
        <f t="shared" si="40"/>
        <v>3764.23528370443</v>
      </c>
      <c r="AW36" s="127">
        <f>0.67*AW28*AW29</f>
        <v>202413.06216</v>
      </c>
      <c r="AX36" s="130">
        <f t="shared" si="41"/>
        <v>3382.356341879343</v>
      </c>
      <c r="AY36" s="127">
        <f>0.67*AY28*AY29</f>
        <v>181878.40368000005</v>
      </c>
      <c r="AZ36" s="130">
        <f t="shared" si="42"/>
        <v>544.5985081485348</v>
      </c>
      <c r="BA36" s="127"/>
      <c r="BB36" s="130">
        <f t="shared" si="43"/>
        <v>5723.3196749316</v>
      </c>
      <c r="BC36" s="127"/>
      <c r="BD36" s="130">
        <f t="shared" si="44"/>
        <v>4050.65064524219</v>
      </c>
      <c r="BE36" s="127"/>
      <c r="BM36" s="5" t="s">
        <v>10</v>
      </c>
      <c r="BN36" s="130">
        <f>AO28*AO29+AQ28*AQ29+AS28*AS29+AU28*AU29+AW28*AW29+AY28*AY29</f>
        <v>862908.0900000001</v>
      </c>
    </row>
    <row r="37" spans="1:66" ht="12.75">
      <c r="A37" s="5" t="s">
        <v>11</v>
      </c>
      <c r="B37" s="119">
        <v>0.13787142428370233</v>
      </c>
      <c r="C37" s="135"/>
      <c r="D37" s="130">
        <f t="shared" si="19"/>
        <v>188116.73663607056</v>
      </c>
      <c r="E37" s="127">
        <f t="shared" si="20"/>
        <v>1007208.99</v>
      </c>
      <c r="G37" s="5" t="s">
        <v>11</v>
      </c>
      <c r="H37" s="130">
        <f t="shared" si="21"/>
        <v>1065.429791304285</v>
      </c>
      <c r="I37" s="127"/>
      <c r="J37" s="130">
        <f t="shared" si="22"/>
        <v>6194.537971514528</v>
      </c>
      <c r="K37" s="127"/>
      <c r="L37" s="130">
        <f t="shared" si="23"/>
        <v>9049.500152821387</v>
      </c>
      <c r="M37" s="127"/>
      <c r="N37" s="130">
        <f t="shared" si="24"/>
        <v>8700.636806414932</v>
      </c>
      <c r="O37" s="127"/>
      <c r="P37" s="130">
        <f t="shared" si="25"/>
        <v>4567.83432336784</v>
      </c>
      <c r="Q37" s="127"/>
      <c r="R37" s="130">
        <f t="shared" si="25"/>
        <v>4907.159158818022</v>
      </c>
      <c r="S37" s="127"/>
      <c r="T37" s="130">
        <f t="shared" si="26"/>
        <v>1639.122755852746</v>
      </c>
      <c r="U37" s="127"/>
      <c r="V37" s="130">
        <f t="shared" si="27"/>
        <v>4507.587578595052</v>
      </c>
      <c r="W37" s="127"/>
      <c r="X37" s="130">
        <f t="shared" si="28"/>
        <v>4507.587578595052</v>
      </c>
      <c r="Y37" s="127"/>
      <c r="Z37" s="130">
        <f t="shared" si="29"/>
        <v>20898.88793323453</v>
      </c>
      <c r="AA37" s="127">
        <f>0.67*AA28*AA29</f>
        <v>307758.3025</v>
      </c>
      <c r="AB37" s="130">
        <f t="shared" si="30"/>
        <v>20898.88793323453</v>
      </c>
      <c r="AC37" s="127">
        <f>0.67*AC28*AC29</f>
        <v>307758.3025</v>
      </c>
      <c r="AD37" s="130">
        <f t="shared" si="31"/>
        <v>5699.696709063963</v>
      </c>
      <c r="AE37" s="127">
        <f>0.67*AE28*AE29</f>
        <v>83934.0825</v>
      </c>
      <c r="AF37" s="130">
        <f t="shared" si="32"/>
        <v>1287.69424734941</v>
      </c>
      <c r="AG37" s="127"/>
      <c r="AH37" s="130">
        <f t="shared" si="33"/>
        <v>5133.3757157848095</v>
      </c>
      <c r="AI37" s="127"/>
      <c r="AJ37" s="130">
        <f t="shared" si="34"/>
        <v>10875.796008018666</v>
      </c>
      <c r="AK37" s="127"/>
      <c r="AL37" s="130">
        <f t="shared" si="35"/>
        <v>1244.1910633173352</v>
      </c>
      <c r="AM37" s="127"/>
      <c r="AN37" s="130">
        <f t="shared" si="36"/>
        <v>7569.835469549095</v>
      </c>
      <c r="AO37" s="127"/>
      <c r="AP37" s="130">
        <f t="shared" si="37"/>
        <v>896.4278845518667</v>
      </c>
      <c r="AQ37" s="127"/>
      <c r="AR37" s="130">
        <f t="shared" si="38"/>
        <v>2905.0903666032714</v>
      </c>
      <c r="AS37" s="127"/>
      <c r="AT37" s="130">
        <f t="shared" si="39"/>
        <v>1792.8557691037333</v>
      </c>
      <c r="AU37" s="127"/>
      <c r="AV37" s="130">
        <f t="shared" si="40"/>
        <v>13745.227563128621</v>
      </c>
      <c r="AW37" s="127"/>
      <c r="AX37" s="130">
        <f t="shared" si="41"/>
        <v>12350.78418715905</v>
      </c>
      <c r="AY37" s="127"/>
      <c r="AZ37" s="130">
        <f t="shared" si="42"/>
        <v>1988.6191645478832</v>
      </c>
      <c r="BA37" s="127"/>
      <c r="BB37" s="130">
        <f t="shared" si="43"/>
        <v>20898.88793323453</v>
      </c>
      <c r="BC37" s="127">
        <f>0.67*BC28*BC29</f>
        <v>307758.3025</v>
      </c>
      <c r="BD37" s="130">
        <f t="shared" si="44"/>
        <v>14791.082570905384</v>
      </c>
      <c r="BE37" s="127"/>
      <c r="BM37" s="5" t="s">
        <v>11</v>
      </c>
      <c r="BN37" s="130">
        <f>AA28*AA29+AC28*AC29+AE28*AE29+BC28*BC29</f>
        <v>1503296.9999999998</v>
      </c>
    </row>
    <row r="38" spans="1:66" ht="12.75">
      <c r="A38" s="5" t="s">
        <v>12</v>
      </c>
      <c r="B38" s="119">
        <v>0.008591531410892802</v>
      </c>
      <c r="C38" s="135"/>
      <c r="D38" s="130">
        <f t="shared" si="19"/>
        <v>11722.594875046196</v>
      </c>
      <c r="E38" s="127">
        <f t="shared" si="20"/>
        <v>0</v>
      </c>
      <c r="G38" s="5" t="s">
        <v>12</v>
      </c>
      <c r="H38" s="130">
        <f t="shared" si="21"/>
        <v>66.39282625568535</v>
      </c>
      <c r="I38" s="127"/>
      <c r="J38" s="130">
        <f t="shared" si="22"/>
        <v>386.01594082847527</v>
      </c>
      <c r="K38" s="127"/>
      <c r="L38" s="130">
        <f t="shared" si="23"/>
        <v>563.924433360879</v>
      </c>
      <c r="M38" s="127"/>
      <c r="N38" s="130">
        <f t="shared" si="24"/>
        <v>542.184827678757</v>
      </c>
      <c r="O38" s="127"/>
      <c r="P38" s="130">
        <f t="shared" si="25"/>
        <v>284.64703453134734</v>
      </c>
      <c r="Q38" s="127"/>
      <c r="R38" s="130">
        <f t="shared" si="25"/>
        <v>305.7922428108189</v>
      </c>
      <c r="S38" s="127"/>
      <c r="T38" s="130">
        <f t="shared" si="26"/>
        <v>102.1428096241313</v>
      </c>
      <c r="U38" s="127"/>
      <c r="V38" s="130">
        <f t="shared" si="27"/>
        <v>280.89272646636107</v>
      </c>
      <c r="W38" s="127"/>
      <c r="X38" s="130">
        <f t="shared" si="28"/>
        <v>280.89272646636107</v>
      </c>
      <c r="Y38" s="127"/>
      <c r="Z38" s="130">
        <f t="shared" si="29"/>
        <v>1302.325359036259</v>
      </c>
      <c r="AA38" s="127"/>
      <c r="AB38" s="130">
        <f t="shared" si="30"/>
        <v>1302.325359036259</v>
      </c>
      <c r="AC38" s="127"/>
      <c r="AD38" s="130">
        <f t="shared" si="31"/>
        <v>355.17964337352515</v>
      </c>
      <c r="AE38" s="127"/>
      <c r="AF38" s="130">
        <f t="shared" si="32"/>
        <v>80.24335449645602</v>
      </c>
      <c r="AG38" s="127"/>
      <c r="AH38" s="130">
        <f t="shared" si="33"/>
        <v>319.88904833046655</v>
      </c>
      <c r="AI38" s="127"/>
      <c r="AJ38" s="130">
        <f t="shared" si="34"/>
        <v>677.7310345984461</v>
      </c>
      <c r="AK38" s="127"/>
      <c r="AL38" s="130">
        <f t="shared" si="35"/>
        <v>77.53243035806223</v>
      </c>
      <c r="AM38" s="127"/>
      <c r="AN38" s="130">
        <f t="shared" si="36"/>
        <v>471.71833866091004</v>
      </c>
      <c r="AO38" s="127"/>
      <c r="AP38" s="130">
        <f t="shared" si="37"/>
        <v>55.861382209844614</v>
      </c>
      <c r="AQ38" s="127"/>
      <c r="AR38" s="130">
        <f t="shared" si="38"/>
        <v>181.03225716153347</v>
      </c>
      <c r="AS38" s="127"/>
      <c r="AT38" s="130">
        <f t="shared" si="39"/>
        <v>111.72276441968923</v>
      </c>
      <c r="AU38" s="127"/>
      <c r="AV38" s="130">
        <f t="shared" si="40"/>
        <v>856.5411938842841</v>
      </c>
      <c r="AW38" s="127"/>
      <c r="AX38" s="130">
        <f t="shared" si="41"/>
        <v>769.6457104467479</v>
      </c>
      <c r="AY38" s="127"/>
      <c r="AZ38" s="130">
        <f t="shared" si="42"/>
        <v>123.92186492075122</v>
      </c>
      <c r="BA38" s="127"/>
      <c r="BB38" s="130">
        <f t="shared" si="43"/>
        <v>1302.325359036259</v>
      </c>
      <c r="BC38" s="127"/>
      <c r="BD38" s="130">
        <f t="shared" si="44"/>
        <v>921.7142070538866</v>
      </c>
      <c r="BE38" s="127"/>
      <c r="BM38" s="5" t="s">
        <v>12</v>
      </c>
      <c r="BN38" s="130"/>
    </row>
    <row r="39" spans="1:66" ht="12.75">
      <c r="A39" s="5" t="s">
        <v>13</v>
      </c>
      <c r="B39" s="119">
        <v>0.011644887216309189</v>
      </c>
      <c r="C39" s="135"/>
      <c r="D39" s="130">
        <f t="shared" si="19"/>
        <v>15888.703500440508</v>
      </c>
      <c r="E39" s="127">
        <f t="shared" si="20"/>
        <v>0</v>
      </c>
      <c r="G39" s="5" t="s">
        <v>13</v>
      </c>
      <c r="H39" s="130">
        <f t="shared" si="21"/>
        <v>89.98826131732966</v>
      </c>
      <c r="I39" s="127"/>
      <c r="J39" s="130">
        <f t="shared" si="22"/>
        <v>523.2026608138723</v>
      </c>
      <c r="K39" s="127"/>
      <c r="L39" s="130">
        <f t="shared" si="23"/>
        <v>764.3382897585309</v>
      </c>
      <c r="M39" s="127"/>
      <c r="N39" s="130">
        <f t="shared" si="24"/>
        <v>734.8726166220303</v>
      </c>
      <c r="O39" s="127"/>
      <c r="P39" s="130">
        <f t="shared" si="25"/>
        <v>385.8081237265659</v>
      </c>
      <c r="Q39" s="127"/>
      <c r="R39" s="130">
        <f t="shared" si="25"/>
        <v>414.46815577482505</v>
      </c>
      <c r="S39" s="127"/>
      <c r="T39" s="130">
        <f t="shared" si="26"/>
        <v>138.44347894973794</v>
      </c>
      <c r="U39" s="127"/>
      <c r="V39" s="130">
        <f t="shared" si="27"/>
        <v>380.7195671117793</v>
      </c>
      <c r="W39" s="127"/>
      <c r="X39" s="130">
        <f t="shared" si="28"/>
        <v>380.7195671117793</v>
      </c>
      <c r="Y39" s="127"/>
      <c r="Z39" s="130">
        <f t="shared" si="29"/>
        <v>1765.1605051096085</v>
      </c>
      <c r="AA39" s="127"/>
      <c r="AB39" s="130">
        <f t="shared" si="30"/>
        <v>1765.1605051096085</v>
      </c>
      <c r="AC39" s="127"/>
      <c r="AD39" s="130">
        <f t="shared" si="31"/>
        <v>481.4074104844387</v>
      </c>
      <c r="AE39" s="127"/>
      <c r="AF39" s="130">
        <f t="shared" si="32"/>
        <v>108.76114726006048</v>
      </c>
      <c r="AG39" s="127"/>
      <c r="AH39" s="130">
        <f t="shared" si="33"/>
        <v>433.5748438069978</v>
      </c>
      <c r="AI39" s="127"/>
      <c r="AJ39" s="130">
        <f t="shared" si="34"/>
        <v>918.5907707775377</v>
      </c>
      <c r="AK39" s="127"/>
      <c r="AL39" s="130">
        <f t="shared" si="35"/>
        <v>105.08678417695032</v>
      </c>
      <c r="AM39" s="127"/>
      <c r="AN39" s="130">
        <f t="shared" si="36"/>
        <v>639.3629481010319</v>
      </c>
      <c r="AO39" s="127"/>
      <c r="AP39" s="130">
        <f t="shared" si="37"/>
        <v>75.71403332775378</v>
      </c>
      <c r="AQ39" s="127"/>
      <c r="AR39" s="130">
        <f t="shared" si="38"/>
        <v>245.36955245105392</v>
      </c>
      <c r="AS39" s="127"/>
      <c r="AT39" s="130">
        <f t="shared" si="39"/>
        <v>151.42806665550756</v>
      </c>
      <c r="AU39" s="127"/>
      <c r="AV39" s="130">
        <f t="shared" si="40"/>
        <v>1160.948511025558</v>
      </c>
      <c r="AW39" s="127"/>
      <c r="AX39" s="130">
        <f t="shared" si="41"/>
        <v>1043.171125849052</v>
      </c>
      <c r="AY39" s="127"/>
      <c r="AZ39" s="130">
        <f t="shared" si="42"/>
        <v>167.96262175184117</v>
      </c>
      <c r="BA39" s="127"/>
      <c r="BB39" s="130">
        <f t="shared" si="43"/>
        <v>1765.1605051096085</v>
      </c>
      <c r="BC39" s="127"/>
      <c r="BD39" s="130">
        <f t="shared" si="44"/>
        <v>1249.2834482574513</v>
      </c>
      <c r="BE39" s="127"/>
      <c r="BM39" s="5" t="s">
        <v>13</v>
      </c>
      <c r="BN39" s="130"/>
    </row>
    <row r="40" spans="1:66" ht="12.75">
      <c r="A40" s="5" t="s">
        <v>14</v>
      </c>
      <c r="B40" s="119">
        <v>0.1379637753099531</v>
      </c>
      <c r="C40" s="135"/>
      <c r="D40" s="130">
        <f t="shared" si="19"/>
        <v>188242.743702245</v>
      </c>
      <c r="E40" s="127">
        <f t="shared" si="20"/>
        <v>739543.9069200001</v>
      </c>
      <c r="G40" s="5" t="s">
        <v>14</v>
      </c>
      <c r="H40" s="130">
        <f t="shared" si="21"/>
        <v>1066.1434528562438</v>
      </c>
      <c r="I40" s="127"/>
      <c r="J40" s="130">
        <f t="shared" si="22"/>
        <v>6198.687286296695</v>
      </c>
      <c r="K40" s="127"/>
      <c r="L40" s="130">
        <f t="shared" si="23"/>
        <v>9055.56181955553</v>
      </c>
      <c r="M40" s="127"/>
      <c r="N40" s="130">
        <f t="shared" si="24"/>
        <v>8706.464792469927</v>
      </c>
      <c r="O40" s="127">
        <f>0.67*O28*O29</f>
        <v>128126.11000000002</v>
      </c>
      <c r="P40" s="130">
        <f t="shared" si="25"/>
        <v>4570.894016046712</v>
      </c>
      <c r="Q40" s="127">
        <f>0.67*Q28*Q29</f>
        <v>67266.20775</v>
      </c>
      <c r="R40" s="130">
        <f t="shared" si="25"/>
        <v>4910.446142953038</v>
      </c>
      <c r="S40" s="127">
        <f>0.67*S28*S29</f>
        <v>72263.12604</v>
      </c>
      <c r="T40" s="130">
        <f t="shared" si="26"/>
        <v>1640.2206967019135</v>
      </c>
      <c r="U40" s="127"/>
      <c r="V40" s="130">
        <f t="shared" si="27"/>
        <v>4510.606915930262</v>
      </c>
      <c r="W40" s="127"/>
      <c r="X40" s="130">
        <f t="shared" si="28"/>
        <v>4510.606915930262</v>
      </c>
      <c r="Y40" s="127"/>
      <c r="Z40" s="130">
        <f t="shared" si="29"/>
        <v>20912.88672782276</v>
      </c>
      <c r="AA40" s="127"/>
      <c r="AB40" s="130">
        <f t="shared" si="30"/>
        <v>20912.88672782276</v>
      </c>
      <c r="AC40" s="127"/>
      <c r="AD40" s="130">
        <f t="shared" si="31"/>
        <v>5703.5145621334805</v>
      </c>
      <c r="AE40" s="127"/>
      <c r="AF40" s="130">
        <f t="shared" si="32"/>
        <v>1288.5567892855493</v>
      </c>
      <c r="AG40" s="127"/>
      <c r="AH40" s="130">
        <f t="shared" si="33"/>
        <v>5136.814227557256</v>
      </c>
      <c r="AI40" s="127">
        <f>0.67*AI28*AI29</f>
        <v>75594.40490000001</v>
      </c>
      <c r="AJ40" s="130">
        <f t="shared" si="34"/>
        <v>10883.080990587408</v>
      </c>
      <c r="AK40" s="127">
        <f>0.67*AK28*AK29</f>
        <v>160157.6375</v>
      </c>
      <c r="AL40" s="130">
        <f t="shared" si="35"/>
        <v>1245.0244653231996</v>
      </c>
      <c r="AM40" s="127">
        <f>0.67*AM28*AM29</f>
        <v>18322.033730000003</v>
      </c>
      <c r="AN40" s="130">
        <f t="shared" si="36"/>
        <v>7574.906005940478</v>
      </c>
      <c r="AO40" s="127"/>
      <c r="AP40" s="130">
        <f t="shared" si="37"/>
        <v>897.028342808741</v>
      </c>
      <c r="AQ40" s="127"/>
      <c r="AR40" s="130">
        <f t="shared" si="38"/>
        <v>2907.036296139438</v>
      </c>
      <c r="AS40" s="127"/>
      <c r="AT40" s="130">
        <f t="shared" si="39"/>
        <v>1794.056685617482</v>
      </c>
      <c r="AU40" s="127"/>
      <c r="AV40" s="130">
        <f t="shared" si="40"/>
        <v>13754.434589734026</v>
      </c>
      <c r="AW40" s="127"/>
      <c r="AX40" s="130">
        <f t="shared" si="41"/>
        <v>12359.057167587096</v>
      </c>
      <c r="AY40" s="127"/>
      <c r="AZ40" s="130">
        <f t="shared" si="42"/>
        <v>1989.9512101231146</v>
      </c>
      <c r="BA40" s="127"/>
      <c r="BB40" s="130">
        <f t="shared" si="43"/>
        <v>20912.88672782276</v>
      </c>
      <c r="BC40" s="127"/>
      <c r="BD40" s="130">
        <f t="shared" si="44"/>
        <v>14800.990147198876</v>
      </c>
      <c r="BE40" s="127">
        <f>0.67*BE28*BE29</f>
        <v>217814.38700000002</v>
      </c>
      <c r="BM40" s="5" t="s">
        <v>14</v>
      </c>
      <c r="BN40" s="130">
        <f>AI28*AI29+AK28*AK29+AM28*AM29+BE28*BE29+O28*O29+Q28*Q29+S28*S29</f>
        <v>1103796.8760000002</v>
      </c>
    </row>
    <row r="41" spans="1:66" ht="12.75">
      <c r="A41" s="5" t="s">
        <v>15</v>
      </c>
      <c r="B41" s="119">
        <v>0.014499111121372334</v>
      </c>
      <c r="C41" s="135"/>
      <c r="D41" s="130">
        <f t="shared" si="19"/>
        <v>19783.10938939607</v>
      </c>
      <c r="E41" s="127">
        <f t="shared" si="20"/>
        <v>18962.66428</v>
      </c>
      <c r="G41" s="5" t="s">
        <v>15</v>
      </c>
      <c r="H41" s="130">
        <f t="shared" si="21"/>
        <v>112.04486365756239</v>
      </c>
      <c r="I41" s="127"/>
      <c r="J41" s="130">
        <f t="shared" si="22"/>
        <v>651.4424208002217</v>
      </c>
      <c r="K41" s="127"/>
      <c r="L41" s="130">
        <f t="shared" si="23"/>
        <v>951.681677260684</v>
      </c>
      <c r="M41" s="127"/>
      <c r="N41" s="130">
        <f t="shared" si="24"/>
        <v>914.9938106342206</v>
      </c>
      <c r="O41" s="127"/>
      <c r="P41" s="130">
        <f t="shared" si="25"/>
        <v>480.37175058296583</v>
      </c>
      <c r="Q41" s="127"/>
      <c r="R41" s="130">
        <f t="shared" si="25"/>
        <v>516.0565091977004</v>
      </c>
      <c r="S41" s="127"/>
      <c r="T41" s="130">
        <f t="shared" si="26"/>
        <v>172.37671331932674</v>
      </c>
      <c r="U41" s="127"/>
      <c r="V41" s="130">
        <f t="shared" si="27"/>
        <v>474.0359616281485</v>
      </c>
      <c r="W41" s="127"/>
      <c r="X41" s="130">
        <f t="shared" si="28"/>
        <v>474.0359616281485</v>
      </c>
      <c r="Y41" s="127"/>
      <c r="Z41" s="130">
        <f t="shared" si="29"/>
        <v>2197.810750352088</v>
      </c>
      <c r="AA41" s="127"/>
      <c r="AB41" s="130">
        <f t="shared" si="30"/>
        <v>2197.810750352088</v>
      </c>
      <c r="AC41" s="127"/>
      <c r="AD41" s="130">
        <f t="shared" si="31"/>
        <v>599.4029319142057</v>
      </c>
      <c r="AE41" s="127"/>
      <c r="AF41" s="130">
        <f t="shared" si="32"/>
        <v>135.41908397386467</v>
      </c>
      <c r="AG41" s="127">
        <f>0.67*AG28*AG29</f>
        <v>18962.66428</v>
      </c>
      <c r="AH41" s="130">
        <f t="shared" si="33"/>
        <v>539.8463482741902</v>
      </c>
      <c r="AI41" s="127"/>
      <c r="AJ41" s="130">
        <f t="shared" si="34"/>
        <v>1143.7422632927758</v>
      </c>
      <c r="AK41" s="127"/>
      <c r="AL41" s="130">
        <f t="shared" si="35"/>
        <v>130.84411492069356</v>
      </c>
      <c r="AM41" s="127"/>
      <c r="AN41" s="130">
        <f t="shared" si="36"/>
        <v>796.0742134472329</v>
      </c>
      <c r="AO41" s="127"/>
      <c r="AP41" s="130">
        <f t="shared" si="37"/>
        <v>94.27194632927758</v>
      </c>
      <c r="AQ41" s="127"/>
      <c r="AR41" s="130">
        <f t="shared" si="38"/>
        <v>305.51093717821436</v>
      </c>
      <c r="AS41" s="127"/>
      <c r="AT41" s="130">
        <f t="shared" si="39"/>
        <v>188.54389265855517</v>
      </c>
      <c r="AU41" s="127"/>
      <c r="AV41" s="130">
        <f t="shared" si="40"/>
        <v>1445.503177048923</v>
      </c>
      <c r="AW41" s="127"/>
      <c r="AX41" s="130">
        <f t="shared" si="41"/>
        <v>1298.8579272033799</v>
      </c>
      <c r="AY41" s="127"/>
      <c r="AZ41" s="130">
        <f t="shared" si="42"/>
        <v>209.13115531133832</v>
      </c>
      <c r="BA41" s="127"/>
      <c r="BB41" s="130">
        <f t="shared" si="43"/>
        <v>2197.810750352088</v>
      </c>
      <c r="BC41" s="127"/>
      <c r="BD41" s="130">
        <f t="shared" si="44"/>
        <v>1555.489478078175</v>
      </c>
      <c r="BE41" s="127"/>
      <c r="BM41" s="5" t="s">
        <v>15</v>
      </c>
      <c r="BN41" s="130">
        <f>AG28*AG29</f>
        <v>28302.484</v>
      </c>
    </row>
    <row r="42" spans="1:66" ht="12.75">
      <c r="A42" s="5" t="s">
        <v>16</v>
      </c>
      <c r="B42" s="119">
        <v>0.0483371043335719</v>
      </c>
      <c r="C42" s="135"/>
      <c r="D42" s="130">
        <f t="shared" si="19"/>
        <v>65952.88597989544</v>
      </c>
      <c r="E42" s="127">
        <f t="shared" si="20"/>
        <v>29284.527499999993</v>
      </c>
      <c r="G42" s="5" t="s">
        <v>16</v>
      </c>
      <c r="H42" s="130">
        <f t="shared" si="21"/>
        <v>373.5349166800383</v>
      </c>
      <c r="I42" s="127"/>
      <c r="J42" s="130">
        <f t="shared" si="22"/>
        <v>2171.777290203605</v>
      </c>
      <c r="K42" s="127"/>
      <c r="L42" s="130">
        <f t="shared" si="23"/>
        <v>3172.7142540683108</v>
      </c>
      <c r="M42" s="127"/>
      <c r="N42" s="130">
        <f t="shared" si="24"/>
        <v>3050.4043260972453</v>
      </c>
      <c r="O42" s="127"/>
      <c r="P42" s="130">
        <f t="shared" si="25"/>
        <v>1601.462271201054</v>
      </c>
      <c r="Q42" s="127"/>
      <c r="R42" s="130">
        <f t="shared" si="25"/>
        <v>1720.4280399188463</v>
      </c>
      <c r="S42" s="127"/>
      <c r="T42" s="130">
        <f t="shared" si="26"/>
        <v>574.6691025846743</v>
      </c>
      <c r="U42" s="127"/>
      <c r="V42" s="130">
        <f t="shared" si="27"/>
        <v>1580.3400321078543</v>
      </c>
      <c r="W42" s="127"/>
      <c r="X42" s="130">
        <f t="shared" si="28"/>
        <v>1580.3400321078543</v>
      </c>
      <c r="Y42" s="127"/>
      <c r="Z42" s="130">
        <f t="shared" si="29"/>
        <v>7327.056579945684</v>
      </c>
      <c r="AA42" s="127"/>
      <c r="AB42" s="130">
        <f t="shared" si="30"/>
        <v>7327.056579945684</v>
      </c>
      <c r="AC42" s="127"/>
      <c r="AD42" s="130">
        <f t="shared" si="31"/>
        <v>1998.2881581670047</v>
      </c>
      <c r="AE42" s="127"/>
      <c r="AF42" s="130">
        <f t="shared" si="32"/>
        <v>451.45984026239233</v>
      </c>
      <c r="AG42" s="127"/>
      <c r="AH42" s="130">
        <f t="shared" si="33"/>
        <v>1799.7385523973746</v>
      </c>
      <c r="AI42" s="127"/>
      <c r="AJ42" s="130">
        <f t="shared" si="34"/>
        <v>3813.0054076215565</v>
      </c>
      <c r="AK42" s="127"/>
      <c r="AL42" s="130">
        <f t="shared" si="35"/>
        <v>436.20781863190604</v>
      </c>
      <c r="AM42" s="127"/>
      <c r="AN42" s="130">
        <f t="shared" si="36"/>
        <v>2653.9504381026477</v>
      </c>
      <c r="AO42" s="127"/>
      <c r="AP42" s="130">
        <f t="shared" si="37"/>
        <v>314.2836045121557</v>
      </c>
      <c r="AQ42" s="127"/>
      <c r="AR42" s="130">
        <f t="shared" si="38"/>
        <v>1018.5116812893933</v>
      </c>
      <c r="AS42" s="127"/>
      <c r="AT42" s="130">
        <f t="shared" si="39"/>
        <v>628.5672090243114</v>
      </c>
      <c r="AU42" s="127"/>
      <c r="AV42" s="130">
        <f t="shared" si="40"/>
        <v>4819.015269186387</v>
      </c>
      <c r="AW42" s="127"/>
      <c r="AX42" s="130">
        <f t="shared" si="41"/>
        <v>4330.129662167478</v>
      </c>
      <c r="AY42" s="127"/>
      <c r="AZ42" s="130">
        <f t="shared" si="42"/>
        <v>697.2009793609883</v>
      </c>
      <c r="BA42" s="127">
        <f>0.67*BA28*BA29</f>
        <v>29284.527499999993</v>
      </c>
      <c r="BB42" s="130">
        <f t="shared" si="43"/>
        <v>7327.056579945684</v>
      </c>
      <c r="BC42" s="127"/>
      <c r="BD42" s="130">
        <f t="shared" si="44"/>
        <v>5185.687354365316</v>
      </c>
      <c r="BE42" s="127"/>
      <c r="BM42" s="5" t="s">
        <v>16</v>
      </c>
      <c r="BN42" s="130">
        <f>BA28*BA29</f>
        <v>43708.24999999999</v>
      </c>
    </row>
    <row r="43" spans="1:66" ht="12.75">
      <c r="A43" s="5" t="s">
        <v>17</v>
      </c>
      <c r="B43" s="119">
        <v>0.09225867522452841</v>
      </c>
      <c r="C43" s="135"/>
      <c r="D43" s="130">
        <f t="shared" si="19"/>
        <v>125881.05910832275</v>
      </c>
      <c r="E43" s="127">
        <f t="shared" si="20"/>
        <v>224484.63819600004</v>
      </c>
      <c r="G43" s="5" t="s">
        <v>17</v>
      </c>
      <c r="H43" s="130">
        <f t="shared" si="21"/>
        <v>712.947890407037</v>
      </c>
      <c r="I43" s="127"/>
      <c r="J43" s="130">
        <f t="shared" si="22"/>
        <v>4145.16546738485</v>
      </c>
      <c r="K43" s="127">
        <f>0.67*K28*K29</f>
        <v>91221.14521000002</v>
      </c>
      <c r="L43" s="130">
        <f t="shared" si="23"/>
        <v>6055.605067410338</v>
      </c>
      <c r="M43" s="127">
        <f>0.67*M28*M29</f>
        <v>133263.49298600003</v>
      </c>
      <c r="N43" s="130">
        <f t="shared" si="24"/>
        <v>5822.15806894004</v>
      </c>
      <c r="O43" s="127"/>
      <c r="P43" s="130">
        <f t="shared" si="25"/>
        <v>3056.632986193521</v>
      </c>
      <c r="Q43" s="127"/>
      <c r="R43" s="130">
        <f t="shared" si="25"/>
        <v>3283.6971508821825</v>
      </c>
      <c r="S43" s="127"/>
      <c r="T43" s="130">
        <f t="shared" si="26"/>
        <v>1096.8429083185183</v>
      </c>
      <c r="U43" s="127"/>
      <c r="V43" s="130">
        <f t="shared" si="27"/>
        <v>3016.317997875926</v>
      </c>
      <c r="W43" s="127"/>
      <c r="X43" s="130">
        <f t="shared" si="28"/>
        <v>3016.317997875926</v>
      </c>
      <c r="Y43" s="127"/>
      <c r="Z43" s="130">
        <f t="shared" si="29"/>
        <v>13984.795793641626</v>
      </c>
      <c r="AA43" s="127"/>
      <c r="AB43" s="130">
        <f t="shared" si="30"/>
        <v>13984.795793641626</v>
      </c>
      <c r="AC43" s="127"/>
      <c r="AD43" s="130">
        <f t="shared" si="31"/>
        <v>3814.0352164477163</v>
      </c>
      <c r="AE43" s="127"/>
      <c r="AF43" s="130">
        <f t="shared" si="32"/>
        <v>861.679394203126</v>
      </c>
      <c r="AG43" s="127"/>
      <c r="AH43" s="130">
        <f t="shared" si="33"/>
        <v>3435.0732606746233</v>
      </c>
      <c r="AI43" s="127"/>
      <c r="AJ43" s="130">
        <f t="shared" si="34"/>
        <v>7277.69758617505</v>
      </c>
      <c r="AK43" s="127"/>
      <c r="AL43" s="130">
        <f t="shared" si="35"/>
        <v>832.5686038584257</v>
      </c>
      <c r="AM43" s="127"/>
      <c r="AN43" s="130">
        <f t="shared" si="36"/>
        <v>5065.465854992264</v>
      </c>
      <c r="AO43" s="127"/>
      <c r="AP43" s="130">
        <f t="shared" si="37"/>
        <v>599.8577986175051</v>
      </c>
      <c r="AQ43" s="127"/>
      <c r="AR43" s="130">
        <f t="shared" si="38"/>
        <v>1943.9836066308033</v>
      </c>
      <c r="AS43" s="127"/>
      <c r="AT43" s="130">
        <f t="shared" si="39"/>
        <v>1199.7155972350101</v>
      </c>
      <c r="AU43" s="127"/>
      <c r="AV43" s="130">
        <f t="shared" si="40"/>
        <v>9197.819578801744</v>
      </c>
      <c r="AW43" s="127"/>
      <c r="AX43" s="130">
        <f t="shared" si="41"/>
        <v>8264.707447618957</v>
      </c>
      <c r="AY43" s="127"/>
      <c r="AZ43" s="130">
        <f t="shared" si="42"/>
        <v>1330.7135296562226</v>
      </c>
      <c r="BA43" s="127"/>
      <c r="BB43" s="130">
        <f t="shared" si="43"/>
        <v>13984.795793641626</v>
      </c>
      <c r="BC43" s="127"/>
      <c r="BD43" s="130">
        <f t="shared" si="44"/>
        <v>9897.668717198068</v>
      </c>
      <c r="BE43" s="127"/>
      <c r="BM43" s="5" t="s">
        <v>17</v>
      </c>
      <c r="BN43" s="130">
        <f>K28*K29+M28*M29</f>
        <v>335051.6988</v>
      </c>
    </row>
    <row r="44" spans="1:66" ht="12.75">
      <c r="A44" s="5" t="s">
        <v>18</v>
      </c>
      <c r="B44" s="119">
        <v>0.031468612194953005</v>
      </c>
      <c r="C44" s="135"/>
      <c r="D44" s="130">
        <f t="shared" si="19"/>
        <v>42936.907798959925</v>
      </c>
      <c r="E44" s="127">
        <f t="shared" si="20"/>
        <v>0</v>
      </c>
      <c r="G44" s="5" t="s">
        <v>18</v>
      </c>
      <c r="H44" s="130">
        <f t="shared" si="21"/>
        <v>243.18017383002785</v>
      </c>
      <c r="I44" s="127"/>
      <c r="J44" s="130">
        <f t="shared" si="22"/>
        <v>1413.8790120234107</v>
      </c>
      <c r="K44" s="127"/>
      <c r="L44" s="130">
        <f t="shared" si="23"/>
        <v>2065.512939659732</v>
      </c>
      <c r="M44" s="127"/>
      <c r="N44" s="130">
        <f t="shared" si="24"/>
        <v>1985.886248239558</v>
      </c>
      <c r="O44" s="127"/>
      <c r="P44" s="130">
        <f t="shared" si="25"/>
        <v>1042.590280325768</v>
      </c>
      <c r="Q44" s="127"/>
      <c r="R44" s="130">
        <f t="shared" si="25"/>
        <v>1120.0398440071106</v>
      </c>
      <c r="S44" s="127"/>
      <c r="T44" s="130">
        <f t="shared" si="26"/>
        <v>374.123344353889</v>
      </c>
      <c r="U44" s="127"/>
      <c r="V44" s="130">
        <f t="shared" si="27"/>
        <v>1028.8391969731947</v>
      </c>
      <c r="W44" s="127"/>
      <c r="X44" s="130">
        <f t="shared" si="28"/>
        <v>1028.8391969731947</v>
      </c>
      <c r="Y44" s="127"/>
      <c r="Z44" s="130">
        <f t="shared" si="29"/>
        <v>4770.089255939323</v>
      </c>
      <c r="AA44" s="127"/>
      <c r="AB44" s="130">
        <f t="shared" si="30"/>
        <v>4770.089255939323</v>
      </c>
      <c r="AC44" s="127"/>
      <c r="AD44" s="130">
        <f t="shared" si="31"/>
        <v>1300.9334334379973</v>
      </c>
      <c r="AE44" s="127"/>
      <c r="AF44" s="130">
        <f t="shared" si="32"/>
        <v>293.9111647394546</v>
      </c>
      <c r="AG44" s="127"/>
      <c r="AH44" s="130">
        <f t="shared" si="33"/>
        <v>1171.6728864613392</v>
      </c>
      <c r="AI44" s="127"/>
      <c r="AJ44" s="130">
        <f t="shared" si="34"/>
        <v>2482.3578102994475</v>
      </c>
      <c r="AK44" s="127"/>
      <c r="AL44" s="130">
        <f t="shared" si="35"/>
        <v>283.9817334982568</v>
      </c>
      <c r="AM44" s="127"/>
      <c r="AN44" s="130">
        <f t="shared" si="36"/>
        <v>1727.785275363978</v>
      </c>
      <c r="AO44" s="127"/>
      <c r="AP44" s="130">
        <f t="shared" si="37"/>
        <v>204.60615102994478</v>
      </c>
      <c r="AQ44" s="127"/>
      <c r="AR44" s="130">
        <f t="shared" si="38"/>
        <v>663.075489448895</v>
      </c>
      <c r="AS44" s="127"/>
      <c r="AT44" s="130">
        <f t="shared" si="39"/>
        <v>409.21230205988957</v>
      </c>
      <c r="AU44" s="127"/>
      <c r="AV44" s="130">
        <f t="shared" si="40"/>
        <v>3137.2943157924865</v>
      </c>
      <c r="AW44" s="127"/>
      <c r="AX44" s="130">
        <f t="shared" si="41"/>
        <v>2819.0180808570167</v>
      </c>
      <c r="AY44" s="127"/>
      <c r="AZ44" s="130">
        <f t="shared" si="42"/>
        <v>453.8945297601179</v>
      </c>
      <c r="BA44" s="127"/>
      <c r="BB44" s="130">
        <f t="shared" si="43"/>
        <v>4770.089255939323</v>
      </c>
      <c r="BC44" s="127"/>
      <c r="BD44" s="130">
        <f t="shared" si="44"/>
        <v>3376.0066220072486</v>
      </c>
      <c r="BE44" s="127"/>
      <c r="BM44" s="5" t="s">
        <v>18</v>
      </c>
      <c r="BN44" s="130"/>
    </row>
    <row r="45" spans="1:66" ht="12.75">
      <c r="A45" s="5" t="s">
        <v>19</v>
      </c>
      <c r="B45" s="119">
        <v>0.018507722854570217</v>
      </c>
      <c r="C45" s="135"/>
      <c r="D45" s="130">
        <f t="shared" si="19"/>
        <v>25252.603605532833</v>
      </c>
      <c r="E45" s="127">
        <f t="shared" si="20"/>
        <v>0</v>
      </c>
      <c r="G45" s="5" t="s">
        <v>19</v>
      </c>
      <c r="H45" s="130">
        <f t="shared" si="21"/>
        <v>143.02223539728254</v>
      </c>
      <c r="I45" s="127"/>
      <c r="J45" s="130">
        <f t="shared" si="22"/>
        <v>831.5486155636587</v>
      </c>
      <c r="K45" s="127"/>
      <c r="L45" s="130">
        <f t="shared" si="23"/>
        <v>1214.7958989396427</v>
      </c>
      <c r="M45" s="127"/>
      <c r="N45" s="130">
        <f t="shared" si="24"/>
        <v>1167.9648303338488</v>
      </c>
      <c r="O45" s="127"/>
      <c r="P45" s="130">
        <f t="shared" si="25"/>
        <v>613.1815359252706</v>
      </c>
      <c r="Q45" s="127"/>
      <c r="R45" s="130">
        <f t="shared" si="25"/>
        <v>658.7321643082906</v>
      </c>
      <c r="S45" s="127"/>
      <c r="T45" s="130">
        <f t="shared" si="26"/>
        <v>220.0342083035116</v>
      </c>
      <c r="U45" s="127"/>
      <c r="V45" s="130">
        <f t="shared" si="27"/>
        <v>605.0940728346569</v>
      </c>
      <c r="W45" s="127"/>
      <c r="X45" s="130">
        <f t="shared" si="28"/>
        <v>605.0940728346569</v>
      </c>
      <c r="Y45" s="127"/>
      <c r="Z45" s="130">
        <f t="shared" si="29"/>
        <v>2805.44592794744</v>
      </c>
      <c r="AA45" s="127"/>
      <c r="AB45" s="130">
        <f t="shared" si="30"/>
        <v>2805.44592794744</v>
      </c>
      <c r="AC45" s="127"/>
      <c r="AD45" s="130">
        <f t="shared" si="31"/>
        <v>765.1216167129381</v>
      </c>
      <c r="AE45" s="127"/>
      <c r="AF45" s="130">
        <f t="shared" si="32"/>
        <v>172.85879488940964</v>
      </c>
      <c r="AG45" s="127"/>
      <c r="AH45" s="130">
        <f t="shared" si="33"/>
        <v>689.0992498969707</v>
      </c>
      <c r="AI45" s="127"/>
      <c r="AJ45" s="130">
        <f t="shared" si="34"/>
        <v>1459.956037917311</v>
      </c>
      <c r="AK45" s="127"/>
      <c r="AL45" s="130">
        <f t="shared" si="35"/>
        <v>167.01897073774037</v>
      </c>
      <c r="AM45" s="127"/>
      <c r="AN45" s="130">
        <f t="shared" si="36"/>
        <v>1016.1671836857292</v>
      </c>
      <c r="AO45" s="127"/>
      <c r="AP45" s="130">
        <f t="shared" si="37"/>
        <v>120.33558754173112</v>
      </c>
      <c r="AQ45" s="127"/>
      <c r="AR45" s="130">
        <f t="shared" si="38"/>
        <v>389.9764411074619</v>
      </c>
      <c r="AS45" s="127"/>
      <c r="AT45" s="130">
        <f t="shared" si="39"/>
        <v>240.67117508346223</v>
      </c>
      <c r="AU45" s="127"/>
      <c r="AV45" s="130">
        <f t="shared" si="40"/>
        <v>1845.145675639877</v>
      </c>
      <c r="AW45" s="127"/>
      <c r="AX45" s="130">
        <f t="shared" si="41"/>
        <v>1657.9569839082951</v>
      </c>
      <c r="AY45" s="127"/>
      <c r="AZ45" s="130">
        <f t="shared" si="42"/>
        <v>266.9502585612286</v>
      </c>
      <c r="BA45" s="127"/>
      <c r="BB45" s="130">
        <f t="shared" si="43"/>
        <v>2805.44592794744</v>
      </c>
      <c r="BC45" s="127"/>
      <c r="BD45" s="130">
        <f t="shared" si="44"/>
        <v>1985.5402115675429</v>
      </c>
      <c r="BE45" s="127"/>
      <c r="BM45" s="5" t="s">
        <v>19</v>
      </c>
      <c r="BN45" s="130"/>
    </row>
    <row r="46" spans="1:66" ht="12.75">
      <c r="A46" s="2" t="s">
        <v>20</v>
      </c>
      <c r="B46" s="119">
        <v>1</v>
      </c>
      <c r="C46" s="135"/>
      <c r="D46" s="130">
        <f>SUM(D31:D45)</f>
        <v>1364436.0143039997</v>
      </c>
      <c r="E46" s="127">
        <f>SUM(E31:E45)</f>
        <v>2770218.574496</v>
      </c>
      <c r="G46" s="2" t="s">
        <v>20</v>
      </c>
      <c r="H46" s="130">
        <f aca="true" t="shared" si="45" ref="H46:S46">SUM(H33:H45)</f>
        <v>7727.705699999998</v>
      </c>
      <c r="I46" s="127">
        <f t="shared" si="45"/>
        <v>15689.5843</v>
      </c>
      <c r="J46" s="130">
        <f t="shared" si="45"/>
        <v>44929.81779000001</v>
      </c>
      <c r="K46" s="127">
        <f t="shared" si="45"/>
        <v>91221.14521000002</v>
      </c>
      <c r="L46" s="130">
        <f t="shared" si="45"/>
        <v>65637.242814</v>
      </c>
      <c r="M46" s="127">
        <f t="shared" si="45"/>
        <v>133263.49298600003</v>
      </c>
      <c r="N46" s="130">
        <f t="shared" si="45"/>
        <v>63106.88999999999</v>
      </c>
      <c r="O46" s="127">
        <f t="shared" si="45"/>
        <v>128126.11000000002</v>
      </c>
      <c r="P46" s="130">
        <f t="shared" si="45"/>
        <v>33131.11724999999</v>
      </c>
      <c r="Q46" s="127">
        <f t="shared" si="45"/>
        <v>67266.20775</v>
      </c>
      <c r="R46" s="130">
        <f t="shared" si="45"/>
        <v>35592.28595999999</v>
      </c>
      <c r="S46" s="127">
        <f t="shared" si="45"/>
        <v>72263.12604</v>
      </c>
      <c r="T46" s="130">
        <f aca="true" t="shared" si="46" ref="T46:Y46">SUM(T33:T45)</f>
        <v>11888.777999999998</v>
      </c>
      <c r="U46" s="127">
        <f t="shared" si="46"/>
        <v>24137.822000000004</v>
      </c>
      <c r="V46" s="130">
        <f t="shared" si="46"/>
        <v>32694.1395</v>
      </c>
      <c r="W46" s="127">
        <f t="shared" si="46"/>
        <v>66379.0105</v>
      </c>
      <c r="X46" s="130">
        <f t="shared" si="46"/>
        <v>32694.1395</v>
      </c>
      <c r="Y46" s="127">
        <f t="shared" si="46"/>
        <v>66379.0105</v>
      </c>
      <c r="Z46" s="130">
        <f>SUM(Z33:Z45)</f>
        <v>151582.44749999995</v>
      </c>
      <c r="AA46" s="127">
        <f>SUM(AA34:AA45)</f>
        <v>307758.3025</v>
      </c>
      <c r="AB46" s="130">
        <f>SUM(AB33:AB45)</f>
        <v>151582.44749999995</v>
      </c>
      <c r="AC46" s="127">
        <f>SUM(AC34:AC45)</f>
        <v>307758.3025</v>
      </c>
      <c r="AD46" s="130">
        <f>SUM(AD33:AD45)</f>
        <v>41340.667499999996</v>
      </c>
      <c r="AE46" s="127">
        <f>SUM(AE34:AE45)</f>
        <v>83934.0825</v>
      </c>
      <c r="AF46" s="130">
        <f>SUM(AF33:AF45)</f>
        <v>9339.81972</v>
      </c>
      <c r="AG46" s="127">
        <f>SUM(AG34:AG45)</f>
        <v>18962.66428</v>
      </c>
      <c r="AH46" s="130">
        <f>SUM(AH33:AH45)</f>
        <v>37233.06509999999</v>
      </c>
      <c r="AI46" s="127">
        <f>SUM(AI34:AI45)</f>
        <v>75594.40490000001</v>
      </c>
      <c r="AJ46" s="130">
        <f>SUM(AJ33:AJ45)</f>
        <v>78883.6125</v>
      </c>
      <c r="AK46" s="127">
        <f>SUM(AK34:AK45)</f>
        <v>160157.6375</v>
      </c>
      <c r="AL46" s="130">
        <f>SUM(AL33:AL45)</f>
        <v>9024.28527</v>
      </c>
      <c r="AM46" s="127">
        <f>SUM(AM34:AM45)</f>
        <v>18322.033730000003</v>
      </c>
      <c r="AN46" s="130">
        <f>SUM(AN33:AN45)</f>
        <v>54905.035679999986</v>
      </c>
      <c r="AO46" s="127">
        <f>SUM(AO34:AO45)</f>
        <v>111473.86032</v>
      </c>
      <c r="AP46" s="130">
        <f>SUM(AP33:AP45)</f>
        <v>6501.91212</v>
      </c>
      <c r="AQ46" s="127">
        <f>SUM(AQ34:AQ45)</f>
        <v>13200.85188</v>
      </c>
      <c r="AR46" s="130">
        <f>SUM(AR33:AR45)</f>
        <v>21071.011499999997</v>
      </c>
      <c r="AS46" s="127">
        <f>SUM(AS34:AS45)</f>
        <v>42780.5385</v>
      </c>
      <c r="AT46" s="130">
        <f>SUM(AT33:AT45)</f>
        <v>13003.82424</v>
      </c>
      <c r="AU46" s="127">
        <f>SUM(AU34:AU45)</f>
        <v>26401.70376</v>
      </c>
      <c r="AV46" s="130">
        <f>SUM(AV33:AV45)</f>
        <v>99695.98584000001</v>
      </c>
      <c r="AW46" s="127">
        <f>SUM(AW34:AW45)</f>
        <v>202413.06216</v>
      </c>
      <c r="AX46" s="130">
        <f>SUM(AX33:AX45)</f>
        <v>89581.90032</v>
      </c>
      <c r="AY46" s="127">
        <f>SUM(AY34:AY45)</f>
        <v>181878.40368000005</v>
      </c>
      <c r="AZ46" s="130">
        <f>SUM(AZ33:AZ45)</f>
        <v>14423.722499999994</v>
      </c>
      <c r="BA46" s="127">
        <f>SUM(BA34:BA45)</f>
        <v>29284.527499999993</v>
      </c>
      <c r="BB46" s="130">
        <f>SUM(BB33:BB45)</f>
        <v>151582.44749999995</v>
      </c>
      <c r="BC46" s="127">
        <f>SUM(BC34:BC45)</f>
        <v>307758.3025</v>
      </c>
      <c r="BD46" s="130">
        <f>SUM(BD33:BD45)</f>
        <v>107281.71299999999</v>
      </c>
      <c r="BE46" s="127">
        <f>SUM(BE34:BE45)</f>
        <v>217814.38700000002</v>
      </c>
      <c r="BM46" s="2" t="s">
        <v>20</v>
      </c>
      <c r="BN46" s="130">
        <f>SUM(BN31:BN45)</f>
        <v>4134654.5888</v>
      </c>
    </row>
    <row r="47" spans="4:66" ht="12.75">
      <c r="D47" s="136">
        <f>SUM(H47,J47,L47,N47,P47,R47,T47,V47,X47,Z47,AB47,AD47,AF47,AH47,AJ47,AL47,AN47,AP47,AR47,AT47,AV47,AX47,AZ47,BB47,BD47)</f>
        <v>1364436.014304</v>
      </c>
      <c r="E47" s="136">
        <f>SUM(I47,K47,M47,O47,Q47,S47,U47,W47,Y47,AA47,AC47,AE47,AG47,AI47,AK47,AM47,AO47,AQ47,AS47,AU47,AW47,AY47,BA47,BC47,BE47)</f>
        <v>2770218.574496</v>
      </c>
      <c r="H47" s="131">
        <f>I28*I29*0.33</f>
        <v>7727.7057</v>
      </c>
      <c r="I47" s="131">
        <f>I28*I29*0.67</f>
        <v>15689.584300000002</v>
      </c>
      <c r="J47" s="131">
        <f>K28*K29*0.33</f>
        <v>44929.81779000001</v>
      </c>
      <c r="K47" s="131">
        <f>K28*K29*0.67</f>
        <v>91221.14521000002</v>
      </c>
      <c r="L47" s="131">
        <f>M28*M29*0.33</f>
        <v>65637.24281400001</v>
      </c>
      <c r="M47" s="131">
        <f>M28*M29*0.67</f>
        <v>133263.49298600003</v>
      </c>
      <c r="N47" s="131">
        <f>O28*O29*0.33</f>
        <v>63106.89</v>
      </c>
      <c r="O47" s="131">
        <f>O28*O29*0.67</f>
        <v>128126.11</v>
      </c>
      <c r="P47" s="131">
        <f>Q28*Q29*0.33</f>
        <v>33131.11725</v>
      </c>
      <c r="Q47" s="131">
        <f>Q28*Q29*0.67</f>
        <v>67266.20775000002</v>
      </c>
      <c r="R47" s="131">
        <f>S28*S29*0.33</f>
        <v>35592.28596000001</v>
      </c>
      <c r="S47" s="131">
        <f>S28*S29*0.67</f>
        <v>72263.12604000002</v>
      </c>
      <c r="T47" s="131">
        <f>U28*U29*0.33</f>
        <v>11888.778000000002</v>
      </c>
      <c r="U47" s="131">
        <f>U28*U29*0.67</f>
        <v>24137.822000000004</v>
      </c>
      <c r="V47" s="131">
        <f>W28*W29*0.33</f>
        <v>32694.139500000005</v>
      </c>
      <c r="W47" s="131">
        <f>W28*W29*0.67</f>
        <v>66379.0105</v>
      </c>
      <c r="X47" s="131">
        <f>Y28*Y29*0.33</f>
        <v>32694.139500000005</v>
      </c>
      <c r="Y47" s="131">
        <f>Y28*Y29*0.67</f>
        <v>66379.0105</v>
      </c>
      <c r="Z47" s="131">
        <f>AA28*AA29*0.33</f>
        <v>151582.44749999998</v>
      </c>
      <c r="AA47" s="131">
        <f>AA28*AA29*0.67</f>
        <v>307758.3025</v>
      </c>
      <c r="AB47" s="131">
        <f>AC28*AC29*0.33</f>
        <v>151582.44749999998</v>
      </c>
      <c r="AC47" s="131">
        <f>AC28*AC29*0.67</f>
        <v>307758.3025</v>
      </c>
      <c r="AD47" s="131">
        <f>AE28*AE29*0.33</f>
        <v>41340.667499999996</v>
      </c>
      <c r="AE47" s="131">
        <f>AE28*AE29*0.67</f>
        <v>83934.08249999999</v>
      </c>
      <c r="AF47" s="131">
        <f>AG28*AG29*0.33</f>
        <v>9339.819720000001</v>
      </c>
      <c r="AG47" s="131">
        <f>AG28*AG29*0.67</f>
        <v>18962.66428</v>
      </c>
      <c r="AH47" s="131">
        <f>AI28*AI29*0.33</f>
        <v>37233.0651</v>
      </c>
      <c r="AI47" s="131">
        <f>AI28*AI29*0.67</f>
        <v>75594.40490000001</v>
      </c>
      <c r="AJ47" s="131">
        <f>AK28*AK29*0.33</f>
        <v>78883.61250000002</v>
      </c>
      <c r="AK47" s="131">
        <f>AK28*AK29*0.67</f>
        <v>160157.63750000004</v>
      </c>
      <c r="AL47" s="131">
        <f>AM28*AM29*0.33</f>
        <v>9024.285270000002</v>
      </c>
      <c r="AM47" s="131">
        <f>AM28*AM29*0.67</f>
        <v>18322.033730000003</v>
      </c>
      <c r="AN47" s="131">
        <f>AO28*AO29*0.33</f>
        <v>54905.03568000001</v>
      </c>
      <c r="AO47" s="131">
        <f>AO28*AO29*0.67</f>
        <v>111473.86032</v>
      </c>
      <c r="AP47" s="131">
        <f>AQ28*AQ29*0.33</f>
        <v>6501.912120000001</v>
      </c>
      <c r="AQ47" s="131">
        <f>AQ28*AQ29*0.67</f>
        <v>13200.851880000002</v>
      </c>
      <c r="AR47" s="131">
        <f>AS28*AS29*0.33</f>
        <v>21071.0115</v>
      </c>
      <c r="AS47" s="131">
        <f>AS28*AS29*0.67</f>
        <v>42780.5385</v>
      </c>
      <c r="AT47" s="131">
        <f>AU28*AU29*0.33</f>
        <v>13003.824240000002</v>
      </c>
      <c r="AU47" s="131">
        <f>AU28*AU29*0.67</f>
        <v>26401.703760000004</v>
      </c>
      <c r="AV47" s="131">
        <f>AW28*AW29*0.33</f>
        <v>99695.98584000001</v>
      </c>
      <c r="AW47" s="131">
        <f>AW28*AW29*0.67</f>
        <v>202413.06216000003</v>
      </c>
      <c r="AX47" s="131">
        <f>AY28*AY29*0.33</f>
        <v>89581.90032</v>
      </c>
      <c r="AY47" s="131">
        <f>AY28*AY29*0.67</f>
        <v>181878.40368000002</v>
      </c>
      <c r="AZ47" s="131">
        <f>BA28*BA29*0.33</f>
        <v>14423.722499999998</v>
      </c>
      <c r="BA47" s="131">
        <f>BA28*BA29*0.67</f>
        <v>29284.527499999997</v>
      </c>
      <c r="BB47" s="131">
        <f>BC28*BC29*0.33</f>
        <v>151582.44749999998</v>
      </c>
      <c r="BC47" s="131">
        <f>BC28*BC29*0.67</f>
        <v>307758.3025</v>
      </c>
      <c r="BD47" s="131">
        <f>BE28*BE29*0.33</f>
        <v>107281.71300000002</v>
      </c>
      <c r="BE47" s="131">
        <f>BE28*BE29*0.67</f>
        <v>217814.38700000005</v>
      </c>
      <c r="BN47" s="136">
        <f>SUM(D47:E47)</f>
        <v>4134654.5888</v>
      </c>
    </row>
    <row r="48" ht="20.25">
      <c r="A48" s="15">
        <v>2008</v>
      </c>
    </row>
    <row r="49" spans="1:35" ht="20.25">
      <c r="A49" s="15"/>
      <c r="H49" s="10" t="s">
        <v>398</v>
      </c>
      <c r="I49" t="s">
        <v>57</v>
      </c>
      <c r="J49" s="10" t="s">
        <v>398</v>
      </c>
      <c r="K49" t="s">
        <v>11</v>
      </c>
      <c r="L49" s="10" t="s">
        <v>398</v>
      </c>
      <c r="M49" t="s">
        <v>11</v>
      </c>
      <c r="N49" s="10" t="s">
        <v>398</v>
      </c>
      <c r="O49" t="s">
        <v>11</v>
      </c>
      <c r="P49" s="10" t="s">
        <v>398</v>
      </c>
      <c r="Q49" t="s">
        <v>142</v>
      </c>
      <c r="R49" s="10" t="s">
        <v>398</v>
      </c>
      <c r="S49" t="s">
        <v>142</v>
      </c>
      <c r="T49" s="10" t="s">
        <v>398</v>
      </c>
      <c r="U49" t="s">
        <v>142</v>
      </c>
      <c r="V49" s="10" t="s">
        <v>398</v>
      </c>
      <c r="W49" t="s">
        <v>12</v>
      </c>
      <c r="X49" s="10" t="s">
        <v>398</v>
      </c>
      <c r="Y49" t="s">
        <v>16</v>
      </c>
      <c r="Z49" s="10" t="s">
        <v>398</v>
      </c>
      <c r="AA49" t="s">
        <v>11</v>
      </c>
      <c r="AB49" s="10" t="s">
        <v>398</v>
      </c>
      <c r="AC49" t="s">
        <v>11</v>
      </c>
      <c r="AD49" s="10" t="s">
        <v>398</v>
      </c>
      <c r="AE49" t="s">
        <v>142</v>
      </c>
      <c r="AF49" s="10" t="s">
        <v>398</v>
      </c>
      <c r="AG49" t="str">
        <f>'2007 Q1 Project List'!B66</f>
        <v>OKGE</v>
      </c>
      <c r="AH49" s="10" t="s">
        <v>398</v>
      </c>
      <c r="AI49" t="str">
        <f>'2007 Q1 Project List'!B67</f>
        <v>WFEC</v>
      </c>
    </row>
    <row r="50" spans="8:35" ht="51">
      <c r="H50" s="128" t="s">
        <v>395</v>
      </c>
      <c r="I50" s="129" t="str">
        <f>'2007 Q1 Project List'!C11</f>
        <v>Line - Northwest Texarkana  - Alumax Tap</v>
      </c>
      <c r="J50" s="128" t="s">
        <v>395</v>
      </c>
      <c r="K50" s="129" t="str">
        <f>'2007 Q1 Project List'!C29</f>
        <v>XFR - Lubbock East 115/69 kV</v>
      </c>
      <c r="L50" s="128" t="s">
        <v>395</v>
      </c>
      <c r="M50" s="129" t="str">
        <f>'2007 Q1 Project List'!C30</f>
        <v>XFR - Mustang Sta N. 115 kV - Mustang Sta 230 kV </v>
      </c>
      <c r="N50" s="128" t="s">
        <v>395</v>
      </c>
      <c r="O50" s="129" t="str">
        <f>'2007 Q1 Project List'!C31</f>
        <v>Device - Bowers</v>
      </c>
      <c r="P50" s="128" t="s">
        <v>395</v>
      </c>
      <c r="Q50" s="129" t="str">
        <f>'2007 Q1 Project List'!C41</f>
        <v>Line - Coffeyville - CRA 69 kV Rebuild</v>
      </c>
      <c r="R50" s="128" t="s">
        <v>395</v>
      </c>
      <c r="S50" s="129" t="str">
        <f>'2007 Q1 Project List'!C42</f>
        <v>Line - Dearing - Coffeyville 69 kV Rebuild</v>
      </c>
      <c r="T50" s="128" t="s">
        <v>395</v>
      </c>
      <c r="U50" s="129" t="str">
        <f>'2007 Q1 Project List'!C43</f>
        <v>Device - Sunset 69 kV Cap</v>
      </c>
      <c r="V50" s="128" t="s">
        <v>395</v>
      </c>
      <c r="W50" s="129" t="str">
        <f>'2007 Q1 Project List'!C16</f>
        <v>Multi - Knoll - Hays - Vine 115 kV</v>
      </c>
      <c r="X50" s="128" t="s">
        <v>395</v>
      </c>
      <c r="Y50" s="129" t="str">
        <f>'2007 Q1 Project List'!C18</f>
        <v>Line - Blue Springs - Duncan Road 161 kV</v>
      </c>
      <c r="Z50" s="128" t="s">
        <v>395</v>
      </c>
      <c r="AA50" s="129" t="str">
        <f>'2007 Q1 Project List'!C32</f>
        <v>XFR - Cochran 115/69 kV</v>
      </c>
      <c r="AB50" s="128" t="s">
        <v>395</v>
      </c>
      <c r="AC50" s="129" t="str">
        <f>'2007 Q1 Project List'!C34</f>
        <v>XFR - NE Hereford 115/69 kV</v>
      </c>
      <c r="AD50" s="128" t="s">
        <v>395</v>
      </c>
      <c r="AE50" s="129" t="str">
        <f>'2007 Q1 Project List'!C47</f>
        <v>Device - 3rd &amp; VanBuren 115 kV</v>
      </c>
      <c r="AF50" s="128" t="s">
        <v>395</v>
      </c>
      <c r="AG50" s="129" t="str">
        <f>'2007 Q1 Project List'!C66</f>
        <v>Line - Wind Farm - Mooreland 138 kV</v>
      </c>
      <c r="AH50" s="128" t="s">
        <v>395</v>
      </c>
      <c r="AI50" s="129" t="str">
        <f>'2007 Q1 Project List'!C67</f>
        <v>Line - Wind Farm - Mooreland 138 kV</v>
      </c>
    </row>
    <row r="51" spans="8:35" ht="12.75">
      <c r="H51" s="124" t="s">
        <v>396</v>
      </c>
      <c r="I51" s="126">
        <f>'2007 Q1 Project List'!F11</f>
        <v>1750000</v>
      </c>
      <c r="J51" s="124" t="s">
        <v>396</v>
      </c>
      <c r="K51" s="126">
        <f>'2007 Q1 Project List'!F29</f>
        <v>2750000</v>
      </c>
      <c r="L51" s="124" t="s">
        <v>396</v>
      </c>
      <c r="M51" s="126">
        <f>'2007 Q1 Project List'!F30</f>
        <v>3000000</v>
      </c>
      <c r="N51" s="124" t="s">
        <v>396</v>
      </c>
      <c r="O51" s="126">
        <f>'2007 Q1 Project List'!F31</f>
        <v>300000</v>
      </c>
      <c r="P51" s="124" t="s">
        <v>396</v>
      </c>
      <c r="Q51" s="126">
        <f>'2007 Q1 Project List'!F41</f>
        <v>250000</v>
      </c>
      <c r="R51" s="124" t="s">
        <v>396</v>
      </c>
      <c r="S51" s="126">
        <f>'2007 Q1 Project List'!F42</f>
        <v>390000</v>
      </c>
      <c r="T51" s="124" t="s">
        <v>396</v>
      </c>
      <c r="U51" s="126">
        <f>'2007 Q1 Project List'!F43</f>
        <v>550000</v>
      </c>
      <c r="V51" s="124" t="s">
        <v>396</v>
      </c>
      <c r="W51" s="126">
        <f>'2007 Q1 Project List'!F16</f>
        <v>536000</v>
      </c>
      <c r="X51" s="124" t="s">
        <v>396</v>
      </c>
      <c r="Y51" s="126">
        <f>'2007 Q1 Project List'!F18</f>
        <v>1605500</v>
      </c>
      <c r="Z51" s="124" t="s">
        <v>396</v>
      </c>
      <c r="AA51" s="126">
        <f>'2007 Q1 Project List'!F32</f>
        <v>2750000</v>
      </c>
      <c r="AB51" s="124" t="s">
        <v>396</v>
      </c>
      <c r="AC51" s="126">
        <f>'2007 Q1 Project List'!F34</f>
        <v>1750000</v>
      </c>
      <c r="AD51" s="124" t="s">
        <v>396</v>
      </c>
      <c r="AE51" s="126">
        <f>'2007 Q1 Project List'!F47</f>
        <v>500000</v>
      </c>
      <c r="AF51" s="124" t="s">
        <v>396</v>
      </c>
      <c r="AG51" s="126">
        <f>'2007 Q1 Project List'!F66</f>
        <v>120000</v>
      </c>
      <c r="AH51" s="124" t="s">
        <v>396</v>
      </c>
      <c r="AI51" s="126">
        <f>'2007 Q1 Project List'!F67</f>
        <v>750000</v>
      </c>
    </row>
    <row r="52" spans="4:65" ht="12.75">
      <c r="D52" s="98" t="s">
        <v>400</v>
      </c>
      <c r="H52" s="125" t="s">
        <v>397</v>
      </c>
      <c r="I52">
        <f>VLOOKUP(I49,Carry,11)</f>
        <v>0.18013300000000002</v>
      </c>
      <c r="J52" s="125" t="s">
        <v>397</v>
      </c>
      <c r="K52">
        <f>VLOOKUP(K49,Carry,11)</f>
        <v>0.167033</v>
      </c>
      <c r="L52" s="125" t="s">
        <v>397</v>
      </c>
      <c r="M52">
        <f>VLOOKUP(M49,Carry,11)</f>
        <v>0.167033</v>
      </c>
      <c r="N52" s="125" t="s">
        <v>397</v>
      </c>
      <c r="O52">
        <f>VLOOKUP(O49,Carry,11)</f>
        <v>0.167033</v>
      </c>
      <c r="P52" s="125" t="s">
        <v>397</v>
      </c>
      <c r="Q52">
        <f>VLOOKUP(Q49,Carry,11)</f>
        <v>0.19123300000000001</v>
      </c>
      <c r="R52" s="125" t="s">
        <v>397</v>
      </c>
      <c r="S52">
        <f>VLOOKUP(S49,Carry,11)</f>
        <v>0.19123300000000001</v>
      </c>
      <c r="T52" s="125" t="s">
        <v>397</v>
      </c>
      <c r="U52">
        <f>VLOOKUP(U49,Carry,11)</f>
        <v>0.19123300000000001</v>
      </c>
      <c r="V52" s="125" t="s">
        <v>397</v>
      </c>
      <c r="W52">
        <f>VLOOKUP(W49,Carry,11)</f>
        <v>0.144833</v>
      </c>
      <c r="X52" s="125" t="s">
        <v>397</v>
      </c>
      <c r="Y52">
        <f>VLOOKUP(Y49,Carry,11)</f>
        <v>0.17483299999999996</v>
      </c>
      <c r="Z52" s="125" t="s">
        <v>397</v>
      </c>
      <c r="AA52">
        <f>VLOOKUP(AA49,Carry,11)</f>
        <v>0.167033</v>
      </c>
      <c r="AB52" s="125" t="s">
        <v>397</v>
      </c>
      <c r="AC52">
        <f>VLOOKUP(AC49,Carry,11)</f>
        <v>0.167033</v>
      </c>
      <c r="AD52" s="125" t="s">
        <v>397</v>
      </c>
      <c r="AE52">
        <f>VLOOKUP(AE49,Carry,11)</f>
        <v>0.19123300000000001</v>
      </c>
      <c r="AF52" s="125" t="s">
        <v>397</v>
      </c>
      <c r="AG52">
        <f>VLOOKUP(AG49,Carry,11)</f>
        <v>0.22353299999999998</v>
      </c>
      <c r="AH52" s="125" t="s">
        <v>397</v>
      </c>
      <c r="AI52">
        <f>VLOOKUP(AI49,Carry,11)</f>
        <v>0.182433</v>
      </c>
      <c r="BM52" s="10" t="s">
        <v>449</v>
      </c>
    </row>
    <row r="53" spans="1:66" ht="25.5">
      <c r="A53" s="120" t="s">
        <v>1</v>
      </c>
      <c r="B53" s="94" t="s">
        <v>394</v>
      </c>
      <c r="C53" s="133"/>
      <c r="D53" s="94" t="s">
        <v>362</v>
      </c>
      <c r="E53" s="94" t="s">
        <v>363</v>
      </c>
      <c r="G53" s="2" t="s">
        <v>1</v>
      </c>
      <c r="H53" s="94" t="s">
        <v>362</v>
      </c>
      <c r="I53" s="94" t="s">
        <v>363</v>
      </c>
      <c r="J53" s="94" t="s">
        <v>362</v>
      </c>
      <c r="K53" s="94" t="s">
        <v>363</v>
      </c>
      <c r="L53" s="94" t="s">
        <v>362</v>
      </c>
      <c r="M53" s="94" t="s">
        <v>363</v>
      </c>
      <c r="N53" s="94" t="s">
        <v>362</v>
      </c>
      <c r="O53" s="94" t="s">
        <v>363</v>
      </c>
      <c r="P53" s="94" t="s">
        <v>362</v>
      </c>
      <c r="Q53" s="94" t="s">
        <v>363</v>
      </c>
      <c r="R53" s="94" t="s">
        <v>362</v>
      </c>
      <c r="S53" s="94" t="s">
        <v>363</v>
      </c>
      <c r="T53" s="94" t="s">
        <v>362</v>
      </c>
      <c r="U53" s="94" t="s">
        <v>363</v>
      </c>
      <c r="V53" s="94" t="s">
        <v>362</v>
      </c>
      <c r="W53" s="94" t="s">
        <v>363</v>
      </c>
      <c r="X53" s="94" t="s">
        <v>362</v>
      </c>
      <c r="Y53" s="94" t="s">
        <v>363</v>
      </c>
      <c r="Z53" s="94" t="s">
        <v>362</v>
      </c>
      <c r="AA53" s="94" t="s">
        <v>363</v>
      </c>
      <c r="AB53" s="94" t="s">
        <v>362</v>
      </c>
      <c r="AC53" s="94" t="s">
        <v>363</v>
      </c>
      <c r="AD53" s="94" t="s">
        <v>362</v>
      </c>
      <c r="AE53" s="94" t="s">
        <v>363</v>
      </c>
      <c r="AF53" s="94" t="s">
        <v>362</v>
      </c>
      <c r="AG53" s="94" t="s">
        <v>363</v>
      </c>
      <c r="AH53" s="94" t="s">
        <v>362</v>
      </c>
      <c r="AI53" s="94" t="s">
        <v>363</v>
      </c>
      <c r="BM53" s="120" t="s">
        <v>1</v>
      </c>
      <c r="BN53" s="94" t="s">
        <v>448</v>
      </c>
    </row>
    <row r="54" spans="1:66" ht="12.75">
      <c r="A54" s="5" t="s">
        <v>5</v>
      </c>
      <c r="B54" s="5"/>
      <c r="C54" s="134"/>
      <c r="D54" s="122"/>
      <c r="E54" s="123"/>
      <c r="G54" s="5" t="s">
        <v>5</v>
      </c>
      <c r="H54" s="130"/>
      <c r="I54" s="127"/>
      <c r="J54" s="130"/>
      <c r="K54" s="127"/>
      <c r="L54" s="130"/>
      <c r="M54" s="127"/>
      <c r="N54" s="130"/>
      <c r="O54" s="127"/>
      <c r="P54" s="130"/>
      <c r="Q54" s="127"/>
      <c r="R54" s="130"/>
      <c r="S54" s="127"/>
      <c r="T54" s="130"/>
      <c r="U54" s="127"/>
      <c r="V54" s="130"/>
      <c r="W54" s="127"/>
      <c r="X54" s="130"/>
      <c r="Y54" s="127"/>
      <c r="Z54" s="130"/>
      <c r="AA54" s="127"/>
      <c r="AB54" s="130"/>
      <c r="AC54" s="127"/>
      <c r="AD54" s="130"/>
      <c r="AE54" s="127"/>
      <c r="AF54" s="130"/>
      <c r="AG54" s="127"/>
      <c r="AH54" s="130"/>
      <c r="AI54" s="127"/>
      <c r="BM54" s="5" t="s">
        <v>5</v>
      </c>
      <c r="BN54" s="177" t="s">
        <v>56</v>
      </c>
    </row>
    <row r="55" spans="1:66" ht="12.75">
      <c r="A55" s="5" t="s">
        <v>6</v>
      </c>
      <c r="B55" s="5"/>
      <c r="C55" s="134"/>
      <c r="D55" s="122"/>
      <c r="E55" s="123"/>
      <c r="G55" s="5" t="s">
        <v>6</v>
      </c>
      <c r="H55" s="130"/>
      <c r="I55" s="127"/>
      <c r="J55" s="130"/>
      <c r="K55" s="127"/>
      <c r="L55" s="130"/>
      <c r="M55" s="127"/>
      <c r="N55" s="130"/>
      <c r="O55" s="127"/>
      <c r="P55" s="130"/>
      <c r="Q55" s="127"/>
      <c r="R55" s="130"/>
      <c r="S55" s="127"/>
      <c r="T55" s="130"/>
      <c r="U55" s="127"/>
      <c r="V55" s="130"/>
      <c r="W55" s="127"/>
      <c r="X55" s="130"/>
      <c r="Y55" s="127"/>
      <c r="Z55" s="130"/>
      <c r="AA55" s="127"/>
      <c r="AB55" s="130"/>
      <c r="AC55" s="127"/>
      <c r="AD55" s="130"/>
      <c r="AE55" s="127"/>
      <c r="AF55" s="130"/>
      <c r="AG55" s="127"/>
      <c r="AH55" s="130"/>
      <c r="AI55" s="127"/>
      <c r="BM55" s="5" t="s">
        <v>6</v>
      </c>
      <c r="BN55" s="177" t="s">
        <v>56</v>
      </c>
    </row>
    <row r="56" spans="1:66" ht="12.75">
      <c r="A56" s="5" t="s">
        <v>7</v>
      </c>
      <c r="B56" s="119">
        <v>0.26842691570660077</v>
      </c>
      <c r="C56" s="135"/>
      <c r="D56" s="130">
        <f>SUM(H56,J56,L56,N56,P56,R56,T56,V56,X56,Z56,AB56,AD56,AF56,AH56)</f>
        <v>258885.4453989007</v>
      </c>
      <c r="E56" s="127">
        <f>SUM(I56,K56,M56,O56,Q56,S56,U56,W56,Y56,AA56,AC56,AE56,AG56,AI56)</f>
        <v>211205.9425</v>
      </c>
      <c r="G56" s="5" t="s">
        <v>7</v>
      </c>
      <c r="H56" s="130">
        <f>0.33*I$51*I$52*$B56</f>
        <v>27923.595088029288</v>
      </c>
      <c r="I56" s="127">
        <f>0.67*I51*I52</f>
        <v>211205.9425</v>
      </c>
      <c r="J56" s="130">
        <f>0.33*K$51*K$52*$B56</f>
        <v>40688.80885768273</v>
      </c>
      <c r="K56" s="127"/>
      <c r="L56" s="130">
        <f>0.33*M$51*M$52*$B56</f>
        <v>44387.791481108434</v>
      </c>
      <c r="M56" s="127"/>
      <c r="N56" s="130">
        <f>0.33*O$51*O$52*$B56</f>
        <v>4438.779148110844</v>
      </c>
      <c r="O56" s="127"/>
      <c r="P56" s="130">
        <f>0.33*Q$51*Q$52*$B56</f>
        <v>4234.896960633932</v>
      </c>
      <c r="Q56" s="127"/>
      <c r="R56" s="130">
        <f>0.33*S$51*S$52*$B56</f>
        <v>6606.4392585889345</v>
      </c>
      <c r="S56" s="127"/>
      <c r="T56" s="130">
        <f>0.33*U$51*U$52*$B56</f>
        <v>9316.77331339465</v>
      </c>
      <c r="U56" s="127"/>
      <c r="V56" s="130">
        <f>0.33*W$51*W$52*$B56</f>
        <v>6876.577111350633</v>
      </c>
      <c r="W56" s="127"/>
      <c r="X56" s="130">
        <f>0.33*Y$51*Y$52*$B56</f>
        <v>24864.155937131585</v>
      </c>
      <c r="Y56" s="127"/>
      <c r="Z56" s="130">
        <f>0.33*AA$51*AA$52*$B56</f>
        <v>40688.80885768273</v>
      </c>
      <c r="AA56" s="127"/>
      <c r="AB56" s="130">
        <f>0.33*AC$51*AC$52*$B56</f>
        <v>25892.878363979922</v>
      </c>
      <c r="AC56" s="127"/>
      <c r="AD56" s="130">
        <f>0.33*AE$51*AE$52*$B56</f>
        <v>8469.793921267865</v>
      </c>
      <c r="AE56" s="127"/>
      <c r="AF56" s="130">
        <f>0.33*AG$51*AG$52*$B56</f>
        <v>2376.090040446286</v>
      </c>
      <c r="AG56" s="127"/>
      <c r="AH56" s="130">
        <f>0.33*AI$51*AI$52*$B56</f>
        <v>12120.05705949282</v>
      </c>
      <c r="AI56" s="127"/>
      <c r="BM56" s="5" t="s">
        <v>7</v>
      </c>
      <c r="BN56" s="130">
        <f>I51*I52</f>
        <v>315232.75</v>
      </c>
    </row>
    <row r="57" spans="1:66" ht="12.75">
      <c r="A57" s="5" t="s">
        <v>8</v>
      </c>
      <c r="B57" s="119">
        <v>0.023359037702306462</v>
      </c>
      <c r="C57" s="135"/>
      <c r="D57" s="130">
        <f aca="true" t="shared" si="47" ref="D57:D68">SUM(H57,J57,L57,N57,P57,R57,T57,V57,X57,Z57,AB57,AD57,AF57,AH57)</f>
        <v>22528.72020576815</v>
      </c>
      <c r="E57" s="127">
        <f aca="true" t="shared" si="48" ref="E57:E68">SUM(I57,K57,M57,O57,Q57,S57,U57,W57,Y57,AA57,AC57,AE57,AG57,AI57)</f>
        <v>0</v>
      </c>
      <c r="G57" s="5" t="s">
        <v>8</v>
      </c>
      <c r="H57" s="130">
        <f aca="true" t="shared" si="49" ref="H57:H68">0.33*I$51*I$52*$B57</f>
        <v>2429.966118443077</v>
      </c>
      <c r="I57" s="127"/>
      <c r="J57" s="130">
        <f aca="true" t="shared" si="50" ref="J57:J68">0.33*K$51*K$52*$B57</f>
        <v>3540.8201061603895</v>
      </c>
      <c r="K57" s="127"/>
      <c r="L57" s="130">
        <f aca="true" t="shared" si="51" ref="L57:L68">0.33*M$51*M$52*$B57</f>
        <v>3862.712843084061</v>
      </c>
      <c r="M57" s="127"/>
      <c r="N57" s="130">
        <f aca="true" t="shared" si="52" ref="N57:N68">0.33*O$51*O$52*$B57</f>
        <v>386.27128430840617</v>
      </c>
      <c r="O57" s="127"/>
      <c r="P57" s="130">
        <f aca="true" t="shared" si="53" ref="P57:P68">0.33*Q$51*Q$52*$B57</f>
        <v>368.5290556963267</v>
      </c>
      <c r="Q57" s="127"/>
      <c r="R57" s="130">
        <f aca="true" t="shared" si="54" ref="R57:R68">0.33*S$51*S$52*$B57</f>
        <v>574.9053268862697</v>
      </c>
      <c r="S57" s="127"/>
      <c r="T57" s="130">
        <f aca="true" t="shared" si="55" ref="T57:T68">0.33*U$51*U$52*$B57</f>
        <v>810.7639225319186</v>
      </c>
      <c r="U57" s="127"/>
      <c r="V57" s="130">
        <f aca="true" t="shared" si="56" ref="V57:V68">0.33*W$51*W$52*$B57</f>
        <v>598.4132536933482</v>
      </c>
      <c r="W57" s="127"/>
      <c r="X57" s="130">
        <f aca="true" t="shared" si="57" ref="X57:X68">0.33*Y$51*Y$52*$B57</f>
        <v>2163.7277112937504</v>
      </c>
      <c r="Y57" s="127"/>
      <c r="Z57" s="130">
        <f aca="true" t="shared" si="58" ref="Z57:Z68">0.33*AA$51*AA$52*$B57</f>
        <v>3540.8201061603895</v>
      </c>
      <c r="AA57" s="127"/>
      <c r="AB57" s="130">
        <f aca="true" t="shared" si="59" ref="AB57:AB68">0.33*AC$51*AC$52*$B57</f>
        <v>2253.2491584657027</v>
      </c>
      <c r="AC57" s="127"/>
      <c r="AD57" s="130">
        <f aca="true" t="shared" si="60" ref="AD57:AD68">0.33*AE$51*AE$52*$B57</f>
        <v>737.0581113926534</v>
      </c>
      <c r="AE57" s="127"/>
      <c r="AF57" s="130">
        <f aca="true" t="shared" si="61" ref="AF57:AF68">0.33*AG$51*AG$52*$B57</f>
        <v>206.77202467850293</v>
      </c>
      <c r="AG57" s="127"/>
      <c r="AH57" s="130">
        <f aca="true" t="shared" si="62" ref="AH57:AH68">0.33*AI$51*AI$52*$B57</f>
        <v>1054.7111829733567</v>
      </c>
      <c r="AI57" s="127"/>
      <c r="BM57" s="5" t="s">
        <v>8</v>
      </c>
      <c r="BN57" s="130"/>
    </row>
    <row r="58" spans="1:66" ht="12.75">
      <c r="A58" s="5" t="s">
        <v>9</v>
      </c>
      <c r="B58" s="119">
        <v>0.1693140627525223</v>
      </c>
      <c r="C58" s="135"/>
      <c r="D58" s="130">
        <f t="shared" si="47"/>
        <v>163295.64579095703</v>
      </c>
      <c r="E58" s="127">
        <f t="shared" si="48"/>
        <v>17972.0532</v>
      </c>
      <c r="G58" s="5" t="s">
        <v>9</v>
      </c>
      <c r="H58" s="130">
        <f t="shared" si="49"/>
        <v>17613.20141299956</v>
      </c>
      <c r="I58" s="127"/>
      <c r="J58" s="130">
        <f t="shared" si="50"/>
        <v>25665.040028195916</v>
      </c>
      <c r="K58" s="127"/>
      <c r="L58" s="130">
        <f t="shared" si="51"/>
        <v>27998.225485304636</v>
      </c>
      <c r="M58" s="127"/>
      <c r="N58" s="130">
        <f t="shared" si="52"/>
        <v>2799.822548530464</v>
      </c>
      <c r="O58" s="127"/>
      <c r="P58" s="130">
        <f t="shared" si="53"/>
        <v>2671.220983394131</v>
      </c>
      <c r="Q58" s="127"/>
      <c r="R58" s="130">
        <f t="shared" si="54"/>
        <v>4167.104734094844</v>
      </c>
      <c r="S58" s="127"/>
      <c r="T58" s="130">
        <f t="shared" si="55"/>
        <v>5876.686163467088</v>
      </c>
      <c r="U58" s="127"/>
      <c r="V58" s="130">
        <f t="shared" si="56"/>
        <v>4337.497994524507</v>
      </c>
      <c r="W58" s="127"/>
      <c r="X58" s="130">
        <f t="shared" si="57"/>
        <v>15683.41702077857</v>
      </c>
      <c r="Y58" s="127"/>
      <c r="Z58" s="130">
        <f t="shared" si="58"/>
        <v>25665.040028195916</v>
      </c>
      <c r="AA58" s="127"/>
      <c r="AB58" s="130">
        <f t="shared" si="59"/>
        <v>16332.298199761039</v>
      </c>
      <c r="AC58" s="127"/>
      <c r="AD58" s="130">
        <f t="shared" si="60"/>
        <v>5342.441966788262</v>
      </c>
      <c r="AE58" s="127"/>
      <c r="AF58" s="130">
        <f t="shared" si="61"/>
        <v>1498.7523034146789</v>
      </c>
      <c r="AG58" s="127">
        <f>0.67*AG51*AG52</f>
        <v>17972.0532</v>
      </c>
      <c r="AH58" s="130">
        <f t="shared" si="62"/>
        <v>7644.8969215073985</v>
      </c>
      <c r="AI58" s="127"/>
      <c r="BM58" s="5" t="s">
        <v>9</v>
      </c>
      <c r="BN58" s="130">
        <f>AG51*AG52</f>
        <v>26823.96</v>
      </c>
    </row>
    <row r="59" spans="1:66" ht="12.75">
      <c r="A59" s="5" t="s">
        <v>10</v>
      </c>
      <c r="B59" s="119">
        <v>0.037757139888717005</v>
      </c>
      <c r="C59" s="135"/>
      <c r="D59" s="130">
        <f t="shared" si="47"/>
        <v>36415.02921325238</v>
      </c>
      <c r="E59" s="127">
        <f t="shared" si="48"/>
        <v>91672.58250000002</v>
      </c>
      <c r="G59" s="5" t="s">
        <v>10</v>
      </c>
      <c r="H59" s="130">
        <f t="shared" si="49"/>
        <v>3927.7547229541356</v>
      </c>
      <c r="I59" s="127"/>
      <c r="J59" s="130">
        <f t="shared" si="50"/>
        <v>5723.3196749316</v>
      </c>
      <c r="K59" s="127"/>
      <c r="L59" s="130">
        <f t="shared" si="51"/>
        <v>6243.621463561746</v>
      </c>
      <c r="M59" s="127"/>
      <c r="N59" s="130">
        <f t="shared" si="52"/>
        <v>624.3621463561747</v>
      </c>
      <c r="O59" s="127"/>
      <c r="P59" s="130">
        <f t="shared" si="53"/>
        <v>595.6839184179692</v>
      </c>
      <c r="Q59" s="127"/>
      <c r="R59" s="130">
        <f t="shared" si="54"/>
        <v>929.2669127320319</v>
      </c>
      <c r="S59" s="127"/>
      <c r="T59" s="130">
        <f t="shared" si="55"/>
        <v>1310.504620519532</v>
      </c>
      <c r="U59" s="127"/>
      <c r="V59" s="130">
        <f t="shared" si="56"/>
        <v>967.2647143649709</v>
      </c>
      <c r="W59" s="127"/>
      <c r="X59" s="130">
        <f t="shared" si="57"/>
        <v>3497.4116193298905</v>
      </c>
      <c r="Y59" s="127"/>
      <c r="Z59" s="130">
        <f t="shared" si="58"/>
        <v>5723.3196749316</v>
      </c>
      <c r="AA59" s="127"/>
      <c r="AB59" s="130">
        <f t="shared" si="59"/>
        <v>3642.112520411019</v>
      </c>
      <c r="AC59" s="127"/>
      <c r="AD59" s="130">
        <f t="shared" si="60"/>
        <v>1191.3678368359383</v>
      </c>
      <c r="AE59" s="127"/>
      <c r="AF59" s="130">
        <f t="shared" si="61"/>
        <v>334.2226833294853</v>
      </c>
      <c r="AG59" s="127"/>
      <c r="AH59" s="130">
        <f t="shared" si="62"/>
        <v>1704.8167045762816</v>
      </c>
      <c r="AI59" s="127">
        <f>0.67*AI51*AI52</f>
        <v>91672.58250000002</v>
      </c>
      <c r="BM59" s="5" t="s">
        <v>10</v>
      </c>
      <c r="BN59" s="130">
        <f>AI51*AI52</f>
        <v>136824.75</v>
      </c>
    </row>
    <row r="60" spans="1:66" ht="12.75">
      <c r="A60" s="5" t="s">
        <v>11</v>
      </c>
      <c r="B60" s="119">
        <v>0.13787142428370233</v>
      </c>
      <c r="C60" s="135"/>
      <c r="D60" s="130">
        <f t="shared" si="47"/>
        <v>132970.66350261454</v>
      </c>
      <c r="E60" s="127">
        <f t="shared" si="48"/>
        <v>1180672.7605</v>
      </c>
      <c r="G60" s="5" t="s">
        <v>11</v>
      </c>
      <c r="H60" s="130">
        <f t="shared" si="49"/>
        <v>14342.32411371153</v>
      </c>
      <c r="I60" s="127"/>
      <c r="J60" s="130">
        <f t="shared" si="50"/>
        <v>20898.88793323453</v>
      </c>
      <c r="K60" s="127">
        <f>0.67*K51*K52</f>
        <v>307758.3025</v>
      </c>
      <c r="L60" s="130">
        <f t="shared" si="51"/>
        <v>22798.78683625585</v>
      </c>
      <c r="M60" s="127">
        <f>0.67*M51*M52</f>
        <v>335736.33</v>
      </c>
      <c r="N60" s="130">
        <f t="shared" si="52"/>
        <v>2279.8786836255854</v>
      </c>
      <c r="O60" s="127">
        <f>0.67*O51*O52</f>
        <v>33573.632999999994</v>
      </c>
      <c r="P60" s="130">
        <f t="shared" si="53"/>
        <v>2175.159201603733</v>
      </c>
      <c r="Q60" s="127"/>
      <c r="R60" s="130">
        <f t="shared" si="54"/>
        <v>3393.248354501824</v>
      </c>
      <c r="S60" s="127"/>
      <c r="T60" s="130">
        <f t="shared" si="55"/>
        <v>4785.350243528213</v>
      </c>
      <c r="U60" s="127"/>
      <c r="V60" s="130">
        <f t="shared" si="56"/>
        <v>3531.9985629716243</v>
      </c>
      <c r="W60" s="127"/>
      <c r="X60" s="130">
        <f t="shared" si="57"/>
        <v>12770.912274726506</v>
      </c>
      <c r="Y60" s="127"/>
      <c r="Z60" s="130">
        <f t="shared" si="58"/>
        <v>20898.88793323453</v>
      </c>
      <c r="AA60" s="127">
        <f>0.67*AA51*AA52</f>
        <v>307758.3025</v>
      </c>
      <c r="AB60" s="130">
        <f t="shared" si="59"/>
        <v>13299.292321149249</v>
      </c>
      <c r="AC60" s="127">
        <f>0.67*AC51*AC52</f>
        <v>195846.19249999998</v>
      </c>
      <c r="AD60" s="130">
        <f t="shared" si="60"/>
        <v>4350.318403207466</v>
      </c>
      <c r="AE60" s="127"/>
      <c r="AF60" s="130">
        <f t="shared" si="61"/>
        <v>1220.4249981425896</v>
      </c>
      <c r="AG60" s="127"/>
      <c r="AH60" s="130">
        <f t="shared" si="62"/>
        <v>6225.193642721296</v>
      </c>
      <c r="AI60" s="127"/>
      <c r="BM60" s="5" t="s">
        <v>11</v>
      </c>
      <c r="BN60" s="130">
        <f>K51*K52+M51*M52+O51*O52+AA51*AA52+AC51*AC52</f>
        <v>1762198.15</v>
      </c>
    </row>
    <row r="61" spans="1:66" ht="12.75">
      <c r="A61" s="5" t="s">
        <v>12</v>
      </c>
      <c r="B61" s="119">
        <v>0.008591531410892802</v>
      </c>
      <c r="C61" s="135"/>
      <c r="D61" s="130">
        <f t="shared" si="47"/>
        <v>8286.1378864062</v>
      </c>
      <c r="E61" s="127">
        <f t="shared" si="48"/>
        <v>52012.42696</v>
      </c>
      <c r="G61" s="5" t="s">
        <v>12</v>
      </c>
      <c r="H61" s="130">
        <f t="shared" si="49"/>
        <v>893.749584211149</v>
      </c>
      <c r="I61" s="127"/>
      <c r="J61" s="130">
        <f t="shared" si="50"/>
        <v>1302.325359036259</v>
      </c>
      <c r="K61" s="127"/>
      <c r="L61" s="130">
        <f t="shared" si="51"/>
        <v>1420.7185734941006</v>
      </c>
      <c r="M61" s="127"/>
      <c r="N61" s="130">
        <f t="shared" si="52"/>
        <v>142.07185734941007</v>
      </c>
      <c r="O61" s="127"/>
      <c r="P61" s="130">
        <f t="shared" si="53"/>
        <v>135.54620691968924</v>
      </c>
      <c r="Q61" s="127"/>
      <c r="R61" s="130">
        <f t="shared" si="54"/>
        <v>211.4520827947152</v>
      </c>
      <c r="S61" s="127"/>
      <c r="T61" s="130">
        <f t="shared" si="55"/>
        <v>298.20165522331627</v>
      </c>
      <c r="U61" s="127"/>
      <c r="V61" s="130">
        <f t="shared" si="56"/>
        <v>220.0983761113291</v>
      </c>
      <c r="W61" s="127">
        <f>0.67*W51*W52</f>
        <v>52012.42696</v>
      </c>
      <c r="X61" s="130">
        <f t="shared" si="57"/>
        <v>795.8262165210643</v>
      </c>
      <c r="Y61" s="127"/>
      <c r="Z61" s="130">
        <f t="shared" si="58"/>
        <v>1302.325359036259</v>
      </c>
      <c r="AA61" s="127"/>
      <c r="AB61" s="130">
        <f t="shared" si="59"/>
        <v>828.752501204892</v>
      </c>
      <c r="AC61" s="127"/>
      <c r="AD61" s="130">
        <f t="shared" si="60"/>
        <v>271.0924138393785</v>
      </c>
      <c r="AE61" s="127"/>
      <c r="AF61" s="130">
        <f t="shared" si="61"/>
        <v>76.05143531849558</v>
      </c>
      <c r="AG61" s="127"/>
      <c r="AH61" s="130">
        <f t="shared" si="62"/>
        <v>387.92626534614317</v>
      </c>
      <c r="AI61" s="127"/>
      <c r="BM61" s="5" t="s">
        <v>12</v>
      </c>
      <c r="BN61" s="130">
        <f>W51*W52</f>
        <v>77630.488</v>
      </c>
    </row>
    <row r="62" spans="1:66" ht="12.75">
      <c r="A62" s="5" t="s">
        <v>13</v>
      </c>
      <c r="B62" s="119">
        <v>0.011644887216309189</v>
      </c>
      <c r="C62" s="135"/>
      <c r="D62" s="130">
        <f t="shared" si="47"/>
        <v>11230.95947989554</v>
      </c>
      <c r="E62" s="127">
        <f t="shared" si="48"/>
        <v>0</v>
      </c>
      <c r="G62" s="5" t="s">
        <v>13</v>
      </c>
      <c r="H62" s="130">
        <f t="shared" si="49"/>
        <v>1211.380440810207</v>
      </c>
      <c r="I62" s="127"/>
      <c r="J62" s="130">
        <f t="shared" si="50"/>
        <v>1765.1605051096085</v>
      </c>
      <c r="K62" s="127"/>
      <c r="L62" s="130">
        <f t="shared" si="51"/>
        <v>1925.6296419377547</v>
      </c>
      <c r="M62" s="127"/>
      <c r="N62" s="130">
        <f t="shared" si="52"/>
        <v>192.5629641937755</v>
      </c>
      <c r="O62" s="127"/>
      <c r="P62" s="130">
        <f t="shared" si="53"/>
        <v>183.71815415550756</v>
      </c>
      <c r="Q62" s="127"/>
      <c r="R62" s="130">
        <f t="shared" si="54"/>
        <v>286.6003204825918</v>
      </c>
      <c r="S62" s="127"/>
      <c r="T62" s="130">
        <f t="shared" si="55"/>
        <v>404.1799391421166</v>
      </c>
      <c r="U62" s="127"/>
      <c r="V62" s="130">
        <f t="shared" si="56"/>
        <v>298.31943151132447</v>
      </c>
      <c r="W62" s="127"/>
      <c r="X62" s="130">
        <f t="shared" si="57"/>
        <v>1078.655956890324</v>
      </c>
      <c r="Y62" s="127"/>
      <c r="Z62" s="130">
        <f t="shared" si="58"/>
        <v>1765.1605051096085</v>
      </c>
      <c r="AA62" s="127"/>
      <c r="AB62" s="130">
        <f t="shared" si="59"/>
        <v>1123.2839577970237</v>
      </c>
      <c r="AC62" s="127"/>
      <c r="AD62" s="130">
        <f t="shared" si="60"/>
        <v>367.4363083110151</v>
      </c>
      <c r="AE62" s="127"/>
      <c r="AF62" s="130">
        <f t="shared" si="61"/>
        <v>103.07945633528037</v>
      </c>
      <c r="AG62" s="127"/>
      <c r="AH62" s="130">
        <f t="shared" si="62"/>
        <v>525.7918981094012</v>
      </c>
      <c r="AI62" s="127"/>
      <c r="BM62" s="5" t="s">
        <v>13</v>
      </c>
      <c r="BN62" s="130"/>
    </row>
    <row r="63" spans="1:66" ht="12.75">
      <c r="A63" s="5" t="s">
        <v>14</v>
      </c>
      <c r="B63" s="119">
        <v>0.1379637753099531</v>
      </c>
      <c r="C63" s="135"/>
      <c r="D63" s="130">
        <f t="shared" si="47"/>
        <v>133059.73183058394</v>
      </c>
      <c r="E63" s="127">
        <f t="shared" si="48"/>
        <v>216533.12590000004</v>
      </c>
      <c r="G63" s="5" t="s">
        <v>14</v>
      </c>
      <c r="H63" s="130">
        <f t="shared" si="49"/>
        <v>14351.931096141745</v>
      </c>
      <c r="I63" s="127"/>
      <c r="J63" s="130">
        <f t="shared" si="50"/>
        <v>20912.88672782276</v>
      </c>
      <c r="K63" s="127"/>
      <c r="L63" s="130">
        <f t="shared" si="51"/>
        <v>22814.058248533922</v>
      </c>
      <c r="M63" s="127"/>
      <c r="N63" s="130">
        <f t="shared" si="52"/>
        <v>2281.405824853392</v>
      </c>
      <c r="O63" s="127"/>
      <c r="P63" s="130">
        <f t="shared" si="53"/>
        <v>2176.616198117482</v>
      </c>
      <c r="Q63" s="127">
        <f>0.67*Q51*Q52</f>
        <v>32031.527500000004</v>
      </c>
      <c r="R63" s="130">
        <f t="shared" si="54"/>
        <v>3395.5212690632716</v>
      </c>
      <c r="S63" s="127">
        <f>0.67*S51*S52</f>
        <v>49969.18290000001</v>
      </c>
      <c r="T63" s="130">
        <f t="shared" si="55"/>
        <v>4788.555635858459</v>
      </c>
      <c r="U63" s="127">
        <f>0.67*U51*U52</f>
        <v>70469.36050000001</v>
      </c>
      <c r="V63" s="130">
        <f t="shared" si="56"/>
        <v>3534.364417199223</v>
      </c>
      <c r="W63" s="127"/>
      <c r="X63" s="130">
        <f t="shared" si="57"/>
        <v>12779.466671410642</v>
      </c>
      <c r="Y63" s="127"/>
      <c r="Z63" s="130">
        <f t="shared" si="58"/>
        <v>20912.88672782276</v>
      </c>
      <c r="AA63" s="127"/>
      <c r="AB63" s="130">
        <f t="shared" si="59"/>
        <v>13308.20064497812</v>
      </c>
      <c r="AC63" s="127"/>
      <c r="AD63" s="130">
        <f t="shared" si="60"/>
        <v>4353.232396234964</v>
      </c>
      <c r="AE63" s="127">
        <f>0.67*AE51*AE52</f>
        <v>64063.05500000001</v>
      </c>
      <c r="AF63" s="130">
        <f t="shared" si="61"/>
        <v>1221.2424808198457</v>
      </c>
      <c r="AG63" s="127"/>
      <c r="AH63" s="130">
        <f t="shared" si="62"/>
        <v>6229.363491727368</v>
      </c>
      <c r="AI63" s="127"/>
      <c r="BM63" s="5" t="s">
        <v>14</v>
      </c>
      <c r="BN63" s="130">
        <f>Q51*Q52+S51*S52+U51*U52+AE51*AE52</f>
        <v>323183.77</v>
      </c>
    </row>
    <row r="64" spans="1:66" ht="12.75">
      <c r="A64" s="5" t="s">
        <v>15</v>
      </c>
      <c r="B64" s="119">
        <v>0.014499111121372334</v>
      </c>
      <c r="C64" s="135"/>
      <c r="D64" s="130">
        <f t="shared" si="47"/>
        <v>13983.72749120079</v>
      </c>
      <c r="E64" s="127">
        <f t="shared" si="48"/>
        <v>0</v>
      </c>
      <c r="G64" s="5" t="s">
        <v>15</v>
      </c>
      <c r="H64" s="130">
        <f t="shared" si="49"/>
        <v>1508.296241544109</v>
      </c>
      <c r="I64" s="127"/>
      <c r="J64" s="130">
        <f t="shared" si="50"/>
        <v>2197.810750352088</v>
      </c>
      <c r="K64" s="127"/>
      <c r="L64" s="130">
        <f t="shared" si="51"/>
        <v>2397.611727656823</v>
      </c>
      <c r="M64" s="127"/>
      <c r="N64" s="130">
        <f t="shared" si="52"/>
        <v>239.76117276568232</v>
      </c>
      <c r="O64" s="127"/>
      <c r="P64" s="130">
        <f t="shared" si="53"/>
        <v>228.74845265855515</v>
      </c>
      <c r="Q64" s="127"/>
      <c r="R64" s="130">
        <f t="shared" si="54"/>
        <v>356.8475861473461</v>
      </c>
      <c r="S64" s="127"/>
      <c r="T64" s="130">
        <f t="shared" si="55"/>
        <v>503.2465958488213</v>
      </c>
      <c r="U64" s="127"/>
      <c r="V64" s="130">
        <f t="shared" si="56"/>
        <v>371.4391137330593</v>
      </c>
      <c r="W64" s="127"/>
      <c r="X64" s="130">
        <f t="shared" si="57"/>
        <v>1343.0402794094148</v>
      </c>
      <c r="Y64" s="127"/>
      <c r="Z64" s="130">
        <f t="shared" si="58"/>
        <v>2197.810750352088</v>
      </c>
      <c r="AA64" s="127"/>
      <c r="AB64" s="130">
        <f t="shared" si="59"/>
        <v>1398.6068411331469</v>
      </c>
      <c r="AC64" s="127"/>
      <c r="AD64" s="130">
        <f t="shared" si="60"/>
        <v>457.4969053171103</v>
      </c>
      <c r="AE64" s="127"/>
      <c r="AF64" s="130">
        <f t="shared" si="61"/>
        <v>128.34478032923138</v>
      </c>
      <c r="AG64" s="127"/>
      <c r="AH64" s="130">
        <f t="shared" si="62"/>
        <v>654.6662939533165</v>
      </c>
      <c r="AI64" s="127"/>
      <c r="BM64" s="5" t="s">
        <v>15</v>
      </c>
      <c r="BN64" s="130"/>
    </row>
    <row r="65" spans="1:66" ht="12.75">
      <c r="A65" s="5" t="s">
        <v>16</v>
      </c>
      <c r="B65" s="119">
        <v>0.0483371043335719</v>
      </c>
      <c r="C65" s="135"/>
      <c r="D65" s="130">
        <f t="shared" si="47"/>
        <v>46618.9195362504</v>
      </c>
      <c r="E65" s="127">
        <f t="shared" si="48"/>
        <v>188065.23560499997</v>
      </c>
      <c r="G65" s="5" t="s">
        <v>16</v>
      </c>
      <c r="H65" s="130">
        <f t="shared" si="49"/>
        <v>5028.3546476159</v>
      </c>
      <c r="I65" s="127"/>
      <c r="J65" s="130">
        <f t="shared" si="50"/>
        <v>7327.056579945684</v>
      </c>
      <c r="K65" s="127"/>
      <c r="L65" s="130">
        <f t="shared" si="51"/>
        <v>7993.152632668019</v>
      </c>
      <c r="M65" s="127"/>
      <c r="N65" s="130">
        <f t="shared" si="52"/>
        <v>799.3152632668019</v>
      </c>
      <c r="O65" s="127"/>
      <c r="P65" s="130">
        <f t="shared" si="53"/>
        <v>762.6010815243113</v>
      </c>
      <c r="Q65" s="127"/>
      <c r="R65" s="130">
        <f t="shared" si="54"/>
        <v>1189.6576871779257</v>
      </c>
      <c r="S65" s="127"/>
      <c r="T65" s="130">
        <f t="shared" si="55"/>
        <v>1677.7223793534847</v>
      </c>
      <c r="U65" s="127"/>
      <c r="V65" s="130">
        <f t="shared" si="56"/>
        <v>1238.3028893142932</v>
      </c>
      <c r="W65" s="127"/>
      <c r="X65" s="130">
        <f t="shared" si="57"/>
        <v>4477.4246894562675</v>
      </c>
      <c r="Y65" s="127">
        <f>0.67*Y51*Y52</f>
        <v>188065.23560499997</v>
      </c>
      <c r="Z65" s="130">
        <f t="shared" si="58"/>
        <v>7327.056579945684</v>
      </c>
      <c r="AA65" s="127"/>
      <c r="AB65" s="130">
        <f t="shared" si="59"/>
        <v>4662.672369056345</v>
      </c>
      <c r="AC65" s="127"/>
      <c r="AD65" s="130">
        <f t="shared" si="60"/>
        <v>1525.2021630486227</v>
      </c>
      <c r="AE65" s="127"/>
      <c r="AF65" s="130">
        <f t="shared" si="61"/>
        <v>427.8755425426545</v>
      </c>
      <c r="AG65" s="127"/>
      <c r="AH65" s="130">
        <f t="shared" si="62"/>
        <v>2182.5250313344145</v>
      </c>
      <c r="AI65" s="127"/>
      <c r="BM65" s="5" t="s">
        <v>16</v>
      </c>
      <c r="BN65" s="130">
        <f>Y51*Y52</f>
        <v>280694.38149999996</v>
      </c>
    </row>
    <row r="66" spans="1:66" ht="12.75">
      <c r="A66" s="5" t="s">
        <v>17</v>
      </c>
      <c r="B66" s="119">
        <v>0.09225867522452841</v>
      </c>
      <c r="C66" s="135"/>
      <c r="D66" s="130">
        <f t="shared" si="47"/>
        <v>88979.25964146235</v>
      </c>
      <c r="E66" s="127">
        <f t="shared" si="48"/>
        <v>0</v>
      </c>
      <c r="G66" s="5" t="s">
        <v>17</v>
      </c>
      <c r="H66" s="130">
        <f t="shared" si="49"/>
        <v>9597.375447787037</v>
      </c>
      <c r="I66" s="127"/>
      <c r="J66" s="130">
        <f t="shared" si="50"/>
        <v>13984.795793641626</v>
      </c>
      <c r="K66" s="127"/>
      <c r="L66" s="130">
        <f t="shared" si="51"/>
        <v>15256.140865790865</v>
      </c>
      <c r="M66" s="127"/>
      <c r="N66" s="130">
        <f t="shared" si="52"/>
        <v>1525.6140865790867</v>
      </c>
      <c r="O66" s="127"/>
      <c r="P66" s="130">
        <f t="shared" si="53"/>
        <v>1455.53951723501</v>
      </c>
      <c r="Q66" s="127"/>
      <c r="R66" s="130">
        <f t="shared" si="54"/>
        <v>2270.6416468866155</v>
      </c>
      <c r="S66" s="127"/>
      <c r="T66" s="130">
        <f t="shared" si="55"/>
        <v>3202.1869379170216</v>
      </c>
      <c r="U66" s="127"/>
      <c r="V66" s="130">
        <f t="shared" si="56"/>
        <v>2363.488373371504</v>
      </c>
      <c r="W66" s="127"/>
      <c r="X66" s="130">
        <f t="shared" si="57"/>
        <v>8545.842287452262</v>
      </c>
      <c r="Y66" s="127"/>
      <c r="Z66" s="130">
        <f t="shared" si="58"/>
        <v>13984.795793641626</v>
      </c>
      <c r="AA66" s="127"/>
      <c r="AB66" s="130">
        <f t="shared" si="59"/>
        <v>8899.415505044672</v>
      </c>
      <c r="AC66" s="127"/>
      <c r="AD66" s="130">
        <f t="shared" si="60"/>
        <v>2911.07903447002</v>
      </c>
      <c r="AE66" s="127"/>
      <c r="AF66" s="130">
        <f t="shared" si="61"/>
        <v>816.6651945789945</v>
      </c>
      <c r="AG66" s="127"/>
      <c r="AH66" s="130">
        <f t="shared" si="62"/>
        <v>4165.679157066007</v>
      </c>
      <c r="AI66" s="127"/>
      <c r="BM66" s="5" t="s">
        <v>17</v>
      </c>
      <c r="BN66" s="130"/>
    </row>
    <row r="67" spans="1:66" ht="12.75">
      <c r="A67" s="5" t="s">
        <v>18</v>
      </c>
      <c r="B67" s="119">
        <v>0.031468612194953005</v>
      </c>
      <c r="C67" s="135"/>
      <c r="D67" s="130">
        <f t="shared" si="47"/>
        <v>30350.032755583874</v>
      </c>
      <c r="E67" s="127">
        <f t="shared" si="48"/>
        <v>0</v>
      </c>
      <c r="G67" s="5" t="s">
        <v>18</v>
      </c>
      <c r="H67" s="130">
        <f t="shared" si="49"/>
        <v>3273.579263096529</v>
      </c>
      <c r="I67" s="127"/>
      <c r="J67" s="130">
        <f t="shared" si="50"/>
        <v>4770.089255939323</v>
      </c>
      <c r="K67" s="127"/>
      <c r="L67" s="130">
        <f t="shared" si="51"/>
        <v>5203.733733751989</v>
      </c>
      <c r="M67" s="127"/>
      <c r="N67" s="130">
        <f t="shared" si="52"/>
        <v>520.373373375199</v>
      </c>
      <c r="O67" s="127"/>
      <c r="P67" s="130">
        <f t="shared" si="53"/>
        <v>496.4715620598895</v>
      </c>
      <c r="Q67" s="127"/>
      <c r="R67" s="130">
        <f t="shared" si="54"/>
        <v>774.4956368134276</v>
      </c>
      <c r="S67" s="127"/>
      <c r="T67" s="130">
        <f t="shared" si="55"/>
        <v>1092.2374365317569</v>
      </c>
      <c r="U67" s="127"/>
      <c r="V67" s="130">
        <f t="shared" si="56"/>
        <v>806.1648280543943</v>
      </c>
      <c r="W67" s="127"/>
      <c r="X67" s="130">
        <f t="shared" si="57"/>
        <v>2914.9106701194773</v>
      </c>
      <c r="Y67" s="127"/>
      <c r="Z67" s="130">
        <f t="shared" si="58"/>
        <v>4770.089255939323</v>
      </c>
      <c r="AA67" s="127"/>
      <c r="AB67" s="130">
        <f t="shared" si="59"/>
        <v>3035.5113446886603</v>
      </c>
      <c r="AC67" s="127"/>
      <c r="AD67" s="130">
        <f t="shared" si="60"/>
        <v>992.943124119779</v>
      </c>
      <c r="AE67" s="127"/>
      <c r="AF67" s="130">
        <f t="shared" si="61"/>
        <v>278.5572222750674</v>
      </c>
      <c r="AG67" s="127"/>
      <c r="AH67" s="130">
        <f t="shared" si="62"/>
        <v>1420.8760488190608</v>
      </c>
      <c r="AI67" s="127"/>
      <c r="BM67" s="5" t="s">
        <v>18</v>
      </c>
      <c r="BN67" s="130"/>
    </row>
    <row r="68" spans="1:66" ht="12.75">
      <c r="A68" s="5" t="s">
        <v>19</v>
      </c>
      <c r="B68" s="119">
        <v>0.018507722854570217</v>
      </c>
      <c r="C68" s="135"/>
      <c r="D68" s="130">
        <f t="shared" si="47"/>
        <v>17849.84960212394</v>
      </c>
      <c r="E68" s="127">
        <f t="shared" si="48"/>
        <v>0</v>
      </c>
      <c r="G68" s="5" t="s">
        <v>19</v>
      </c>
      <c r="H68" s="130">
        <f t="shared" si="49"/>
        <v>1925.2993226557267</v>
      </c>
      <c r="I68" s="127"/>
      <c r="J68" s="130">
        <f t="shared" si="50"/>
        <v>2805.44592794744</v>
      </c>
      <c r="K68" s="127"/>
      <c r="L68" s="130">
        <f t="shared" si="51"/>
        <v>3060.4864668517525</v>
      </c>
      <c r="M68" s="127"/>
      <c r="N68" s="130">
        <f t="shared" si="52"/>
        <v>306.0486466851753</v>
      </c>
      <c r="O68" s="127"/>
      <c r="P68" s="130">
        <f t="shared" si="53"/>
        <v>291.9912075834622</v>
      </c>
      <c r="Q68" s="127"/>
      <c r="R68" s="130">
        <f t="shared" si="54"/>
        <v>455.506283830201</v>
      </c>
      <c r="S68" s="127"/>
      <c r="T68" s="130">
        <f t="shared" si="55"/>
        <v>642.3806566836167</v>
      </c>
      <c r="U68" s="127"/>
      <c r="V68" s="130">
        <f t="shared" si="56"/>
        <v>474.1319737997828</v>
      </c>
      <c r="W68" s="127"/>
      <c r="X68" s="130">
        <f t="shared" si="57"/>
        <v>1714.3545604802102</v>
      </c>
      <c r="Y68" s="127"/>
      <c r="Z68" s="130">
        <f t="shared" si="58"/>
        <v>2805.44592794744</v>
      </c>
      <c r="AA68" s="127"/>
      <c r="AB68" s="130">
        <f t="shared" si="59"/>
        <v>1785.283772330189</v>
      </c>
      <c r="AC68" s="127"/>
      <c r="AD68" s="130">
        <f t="shared" si="60"/>
        <v>583.9824151669244</v>
      </c>
      <c r="AE68" s="127"/>
      <c r="AF68" s="130">
        <f t="shared" si="61"/>
        <v>163.8286377888855</v>
      </c>
      <c r="AG68" s="127"/>
      <c r="AH68" s="130">
        <f t="shared" si="62"/>
        <v>835.6638023731326</v>
      </c>
      <c r="AI68" s="127"/>
      <c r="BM68" s="5" t="s">
        <v>19</v>
      </c>
      <c r="BN68" s="130"/>
    </row>
    <row r="69" spans="1:66" ht="12.75">
      <c r="A69" s="2" t="s">
        <v>20</v>
      </c>
      <c r="B69" s="119">
        <v>1</v>
      </c>
      <c r="C69" s="135"/>
      <c r="D69" s="130">
        <f>SUM(D56:D68)</f>
        <v>964454.1223349998</v>
      </c>
      <c r="E69" s="127">
        <f>SUM(I69,K69,M69,O69,Q69,S69,U69,W69,Y69,AA69,AC69,AE69)</f>
        <v>1848489.491465</v>
      </c>
      <c r="G69" s="2" t="s">
        <v>20</v>
      </c>
      <c r="H69" s="130">
        <f aca="true" t="shared" si="63" ref="H69:Q69">SUM(H56:H68)</f>
        <v>104026.8075</v>
      </c>
      <c r="I69" s="127">
        <f t="shared" si="63"/>
        <v>211205.9425</v>
      </c>
      <c r="J69" s="130">
        <f t="shared" si="63"/>
        <v>151582.44749999995</v>
      </c>
      <c r="K69" s="127">
        <f t="shared" si="63"/>
        <v>307758.3025</v>
      </c>
      <c r="L69" s="130">
        <f t="shared" si="63"/>
        <v>165362.66999999998</v>
      </c>
      <c r="M69" s="127">
        <f t="shared" si="63"/>
        <v>335736.33</v>
      </c>
      <c r="N69" s="130">
        <f t="shared" si="63"/>
        <v>16536.266999999996</v>
      </c>
      <c r="O69" s="127">
        <f t="shared" si="63"/>
        <v>33573.632999999994</v>
      </c>
      <c r="P69" s="130">
        <f t="shared" si="63"/>
        <v>15776.722499999998</v>
      </c>
      <c r="Q69" s="127">
        <f t="shared" si="63"/>
        <v>32031.527500000004</v>
      </c>
      <c r="R69" s="130">
        <f aca="true" t="shared" si="64" ref="R69:AE69">SUM(R56:R68)</f>
        <v>24611.687099999996</v>
      </c>
      <c r="S69" s="127">
        <f t="shared" si="64"/>
        <v>49969.18290000001</v>
      </c>
      <c r="T69" s="130">
        <f t="shared" si="64"/>
        <v>34708.78949999999</v>
      </c>
      <c r="U69" s="127">
        <f t="shared" si="64"/>
        <v>70469.36050000001</v>
      </c>
      <c r="V69" s="130">
        <f t="shared" si="64"/>
        <v>25618.061039999997</v>
      </c>
      <c r="W69" s="127">
        <f t="shared" si="64"/>
        <v>52012.42696</v>
      </c>
      <c r="X69" s="130">
        <f t="shared" si="64"/>
        <v>92629.14589499997</v>
      </c>
      <c r="Y69" s="127">
        <f t="shared" si="64"/>
        <v>188065.23560499997</v>
      </c>
      <c r="Z69" s="130">
        <f t="shared" si="64"/>
        <v>151582.44749999995</v>
      </c>
      <c r="AA69" s="127">
        <f t="shared" si="64"/>
        <v>307758.3025</v>
      </c>
      <c r="AB69" s="130">
        <f t="shared" si="64"/>
        <v>96461.5575</v>
      </c>
      <c r="AC69" s="127">
        <f t="shared" si="64"/>
        <v>195846.19249999998</v>
      </c>
      <c r="AD69" s="130">
        <f t="shared" si="64"/>
        <v>31553.444999999996</v>
      </c>
      <c r="AE69" s="127">
        <f t="shared" si="64"/>
        <v>64063.05500000001</v>
      </c>
      <c r="AF69" s="130">
        <f>SUM(AF56:AF68)</f>
        <v>8851.906799999995</v>
      </c>
      <c r="AG69" s="127">
        <f>SUM(AG56:AG68)</f>
        <v>17972.0532</v>
      </c>
      <c r="AH69" s="130">
        <f>SUM(AH56:AH68)</f>
        <v>45152.1675</v>
      </c>
      <c r="AI69" s="127">
        <f>SUM(AI56:AI68)</f>
        <v>91672.58250000002</v>
      </c>
      <c r="BM69" s="2" t="s">
        <v>20</v>
      </c>
      <c r="BN69" s="130">
        <f>SUM(BN54:BN68)</f>
        <v>2922588.2495</v>
      </c>
    </row>
    <row r="70" spans="4:66" ht="12.75">
      <c r="D70" s="136">
        <f>SUM(H70,J70,L70,N70,P70,R70,T70,V70,X70,Z70,AB70,AD70,AF70,AH70)</f>
        <v>964454.1223349998</v>
      </c>
      <c r="E70" s="136">
        <f>SUM(I70,K70,M70,O70,Q70,S70,U70,W70,Y70,AA70,AC70,AE70,AG70,AI70)</f>
        <v>1958134.1271650002</v>
      </c>
      <c r="H70" s="131">
        <f>I51*I52*0.33</f>
        <v>104026.80750000001</v>
      </c>
      <c r="I70" s="131">
        <f>I51*I52*0.67</f>
        <v>211205.9425</v>
      </c>
      <c r="J70" s="131">
        <f>K51*K52*0.33</f>
        <v>151582.44749999998</v>
      </c>
      <c r="K70" s="131">
        <f>K51*K52*0.67</f>
        <v>307758.3025</v>
      </c>
      <c r="L70" s="131">
        <f>M51*M52*0.33</f>
        <v>165362.66999999998</v>
      </c>
      <c r="M70" s="131">
        <f>M51*M52*0.67</f>
        <v>335736.32999999996</v>
      </c>
      <c r="N70" s="131">
        <f>O51*O52*0.33</f>
        <v>16536.267</v>
      </c>
      <c r="O70" s="131">
        <f>O51*O52*0.67</f>
        <v>33573.633</v>
      </c>
      <c r="P70" s="131">
        <f>Q51*Q52*0.33</f>
        <v>15776.7225</v>
      </c>
      <c r="Q70" s="131">
        <f>Q51*Q52*0.67</f>
        <v>32031.5275</v>
      </c>
      <c r="R70" s="131">
        <f>S51*S52*0.33</f>
        <v>24611.687100000003</v>
      </c>
      <c r="S70" s="131">
        <f>S51*S52*0.67</f>
        <v>49969.18290000001</v>
      </c>
      <c r="T70" s="131">
        <f>U51*U52*0.33</f>
        <v>34708.789500000006</v>
      </c>
      <c r="U70" s="131">
        <f>U51*U52*0.67</f>
        <v>70469.36050000001</v>
      </c>
      <c r="V70" s="131">
        <f>W51*W52*0.33</f>
        <v>25618.06104</v>
      </c>
      <c r="W70" s="131">
        <f>W51*W52*0.67</f>
        <v>52012.426960000004</v>
      </c>
      <c r="X70" s="131">
        <f>Y51*Y52*0.33</f>
        <v>92629.145895</v>
      </c>
      <c r="Y70" s="131">
        <f>Y51*Y52*0.67</f>
        <v>188065.235605</v>
      </c>
      <c r="Z70" s="131">
        <f>AA51*AA52*0.33</f>
        <v>151582.44749999998</v>
      </c>
      <c r="AA70" s="131">
        <f>AA51*AA52*0.67</f>
        <v>307758.3025</v>
      </c>
      <c r="AB70" s="131">
        <f>AC51*AC52*0.33</f>
        <v>96461.55750000001</v>
      </c>
      <c r="AC70" s="131">
        <f>AC51*AC52*0.67</f>
        <v>195846.1925</v>
      </c>
      <c r="AD70" s="131">
        <f>AE51*AE52*0.33</f>
        <v>31553.445</v>
      </c>
      <c r="AE70" s="131">
        <f>AE51*AE52*0.67</f>
        <v>64063.055</v>
      </c>
      <c r="AF70" s="131">
        <f>AG51*AG52*0.33</f>
        <v>8851.9068</v>
      </c>
      <c r="AG70" s="131">
        <f>AG51*AG52*0.67</f>
        <v>17972.053200000002</v>
      </c>
      <c r="AH70" s="131">
        <f>AI51*AI52*0.33</f>
        <v>45152.1675</v>
      </c>
      <c r="AI70" s="131">
        <f>AI51*AI52*0.67</f>
        <v>91672.5825</v>
      </c>
      <c r="BN70" s="136">
        <f>SUM(D70:E70)</f>
        <v>2922588.2495</v>
      </c>
    </row>
  </sheetData>
  <printOptions/>
  <pageMargins left="0.75" right="0.75" top="1" bottom="1" header="0.5" footer="0.5"/>
  <pageSetup horizontalDpi="600" verticalDpi="600" orientation="portrait" r:id="rId1"/>
  <ignoredErrors>
    <ignoredError sqref="I20:K20 L20:M20 N20:O20 N17:O19 N24:O24 L17:M19 L24:M24 I17:K19 I24:K24 AF17:AG17 V20 I21:K23 L21:M23 N21:O23 T24 V24 R24:S24 T25 U24 V25 U25 R25:S25 T20 Y15:Y16 W15:X16 I15:K16 L15:M16 N15:O16 W17:X19 W21:X24 Z20 Y17:Y19 Y21:Y24 W9:W13 Z21:Z24 AA21:AB24 Z17:Z19 AB20 AA17:AB19 Y9:Y13 N14:O14 L14:M14 I14:K14 X20 R20 AD20:AE24 AC17:AC19 AC21:AC24 AF24 AD17:AE19 AH20:AH24 AG21:AG24 AH17 X14 X9:X13 I10:K13 L10:M13 N10:O13 S14:W14 Y14:AC14 AD15:AE16 AC15:AC16 AI17:AI24 D23:E23 AK17:AK24 AM17:AM24 I47:S47 O40 M40:N40 P40:R40 O37:O39 L43 S41:S42 T41:U42 V46 T46:U46 W33 V33 T33:U33 S33 Z46:AA46 W32 W46 W36 Z36:AA36 V36 T36:U36 S36 O36 P36:R36 M36:N36 AB46:AC46 AE46 AE40 AE48 AB40:AC40 W40 Z40:AA40 V40 T40:U40 S40 AF46 AG41:AG42 AF41:AF42 AE41:AE42 AB41:AC42 W41:W42 Z41:AA42 V41:V42 AG46 AH46 S37:S39 T37:U39 V37:V39 Z37:AA39 W37:W39 AB37:AC39 AE37:AE39 P37:R39 M37:N39 AI46 AK46 S70 AM46 AO46 M34:N35 P34:R35 O34:O35 S34:S35 T34:U35 V34:V35 Z32:AA35 W34:W35 AQ46 AS46 AU46 AW46 AW37:AW45 AW47 AU37:AU45 AU47 AS37:AS45 AS47 AQ37:AQ45 AQ47 K63:K64 AO47 AM40:AM45 AM47 S63 U63 AK40:AK45 AK47 AI40:AI45 AI47 AH43:AH45 AH47 AG43:AG45 AG47 AF43:AF45 AF47 AE43:AE45 AE47 AB43:AC45 AB47:AC47 W43:W45 W47 Z43:AA45 Z47:AA47 T43:U45 T47:U47 V43:V45 V47 D46:E46 K66:K69 U70 X63 E55:I55 X47:Y47 X43:Y45 X32:Y35 X37:Y39 X41:Y42 X40:Y40 X36:Y36 X46:Y46 AQ36 AS36 AU36 AW36 L63:L64 T63:T70 D55 S66:S69 F70:I70 D69 F63:I63 F56:I62 F65:I65 M66:M69 R63:R69 U66:U69 Q64:Q69 U65 S65 F64:I64 F66:I69 L66:L69 U64 S64 J70:R70 L65 Q63 O66:O69 P63:P69 O63:O64 N63:N69 M63:M64 J63:J69 AO41:AO45" formula="1"/>
  </ignoredErrors>
</worksheet>
</file>

<file path=xl/worksheets/sheet6.xml><?xml version="1.0" encoding="utf-8"?>
<worksheet xmlns="http://schemas.openxmlformats.org/spreadsheetml/2006/main" xmlns:r="http://schemas.openxmlformats.org/officeDocument/2006/relationships">
  <sheetPr>
    <tabColor indexed="15"/>
  </sheetPr>
  <dimension ref="A1:AD70"/>
  <sheetViews>
    <sheetView showGridLines="0" zoomScale="70" zoomScaleNormal="70" workbookViewId="0" topLeftCell="A16">
      <pane xSplit="1" topLeftCell="E1" activePane="topRight" state="frozen"/>
      <selection pane="topLeft" activeCell="A1" sqref="A1"/>
      <selection pane="topRight" activeCell="I16" sqref="I16"/>
    </sheetView>
  </sheetViews>
  <sheetFormatPr defaultColWidth="9.140625" defaultRowHeight="12.75"/>
  <cols>
    <col min="2" max="2" width="12.421875" style="0" bestFit="1" customWidth="1"/>
    <col min="3" max="3" width="4.7109375" style="14" customWidth="1"/>
    <col min="4" max="4" width="14.57421875" style="14" customWidth="1"/>
    <col min="5" max="5" width="12.421875" style="14" customWidth="1"/>
    <col min="6" max="6" width="4.8515625" style="0" customWidth="1"/>
    <col min="7" max="7" width="9.00390625" style="0" bestFit="1" customWidth="1"/>
    <col min="8" max="8" width="14.28125" style="0" customWidth="1"/>
    <col min="9" max="9" width="17.57421875" style="0" customWidth="1"/>
    <col min="10" max="10" width="13.28125" style="0" bestFit="1" customWidth="1"/>
    <col min="11" max="11" width="17.57421875" style="0" customWidth="1"/>
    <col min="12" max="12" width="13.28125" style="0" bestFit="1" customWidth="1"/>
    <col min="13" max="13" width="17.57421875" style="0" customWidth="1"/>
    <col min="14" max="14" width="13.28125" style="0" bestFit="1" customWidth="1"/>
    <col min="15" max="15" width="17.57421875" style="0" customWidth="1"/>
    <col min="16" max="16" width="13.28125" style="0" bestFit="1" customWidth="1"/>
    <col min="17" max="28" width="17.57421875" style="0" customWidth="1"/>
    <col min="29" max="30" width="17.57421875" style="0" hidden="1" customWidth="1"/>
    <col min="31" max="16384" width="17.57421875" style="0" customWidth="1"/>
  </cols>
  <sheetData>
    <row r="1" ht="20.25">
      <c r="A1" s="15" t="s">
        <v>408</v>
      </c>
    </row>
    <row r="2" ht="20.25">
      <c r="A2" s="15">
        <v>2006</v>
      </c>
    </row>
    <row r="3" spans="1:19" ht="20.25">
      <c r="A3" s="15"/>
      <c r="H3" s="10" t="s">
        <v>398</v>
      </c>
      <c r="I3" t="s">
        <v>142</v>
      </c>
      <c r="J3" s="10" t="s">
        <v>398</v>
      </c>
      <c r="K3" t="s">
        <v>142</v>
      </c>
      <c r="L3" s="10" t="s">
        <v>398</v>
      </c>
      <c r="M3" t="s">
        <v>9</v>
      </c>
      <c r="N3" s="10" t="s">
        <v>398</v>
      </c>
      <c r="O3" t="s">
        <v>9</v>
      </c>
      <c r="P3" s="10" t="s">
        <v>398</v>
      </c>
      <c r="Q3" t="s">
        <v>9</v>
      </c>
      <c r="R3" s="10" t="s">
        <v>398</v>
      </c>
      <c r="S3" t="s">
        <v>16</v>
      </c>
    </row>
    <row r="4" spans="8:19" ht="25.5">
      <c r="H4" s="128" t="s">
        <v>395</v>
      </c>
      <c r="I4" s="129" t="str">
        <f>'MW-mi Impacts'!B4</f>
        <v>Butler Xfer</v>
      </c>
      <c r="J4" s="128" t="s">
        <v>395</v>
      </c>
      <c r="K4" s="129" t="str">
        <f>'MW-mi Impacts'!E4</f>
        <v>McDowell Conversion and Xfer</v>
      </c>
      <c r="L4" s="128" t="s">
        <v>395</v>
      </c>
      <c r="M4" s="129" t="str">
        <f>'MW-mi Impacts'!H4</f>
        <v>NE Enid - Glenwood</v>
      </c>
      <c r="N4" s="128" t="s">
        <v>395</v>
      </c>
      <c r="O4" s="129" t="str">
        <f>'MW-mi Impacts'!K4</f>
        <v>Razorback - Short Mountain</v>
      </c>
      <c r="P4" s="128" t="s">
        <v>395</v>
      </c>
      <c r="Q4" s="129" t="str">
        <f>'2006 Apprv Base Plan List'!D22</f>
        <v>Line - Richards Tap - Richards 138 kV</v>
      </c>
      <c r="R4" s="128" t="s">
        <v>395</v>
      </c>
      <c r="S4" s="129" t="str">
        <f>'MW-mi Impacts'!Q4</f>
        <v>Nevada - Nevada Plant</v>
      </c>
    </row>
    <row r="5" spans="8:19" ht="12.75">
      <c r="H5" s="124" t="s">
        <v>396</v>
      </c>
      <c r="I5" s="126">
        <f>'2006 Apprv Base Plan List'!G35</f>
        <v>1600000</v>
      </c>
      <c r="J5" s="124" t="s">
        <v>396</v>
      </c>
      <c r="K5" s="126">
        <f>'2006 Apprv Base Plan List'!G34</f>
        <v>7224000</v>
      </c>
      <c r="L5" s="124" t="s">
        <v>396</v>
      </c>
      <c r="M5" s="126">
        <f>'2007 Q1 Project List'!F20</f>
        <v>3732000</v>
      </c>
      <c r="N5" s="124" t="s">
        <v>396</v>
      </c>
      <c r="O5" s="126">
        <f>'2007 Q1 Project List'!F21</f>
        <v>4791277</v>
      </c>
      <c r="P5" s="124" t="s">
        <v>396</v>
      </c>
      <c r="Q5" s="126">
        <f>'2006 Apprv Base Plan List'!G22</f>
        <v>1000000</v>
      </c>
      <c r="R5" s="124" t="s">
        <v>396</v>
      </c>
      <c r="S5" s="126">
        <f>'2006 Apprv Base Plan List'!G20</f>
        <v>536000</v>
      </c>
    </row>
    <row r="6" spans="4:29" ht="12.75">
      <c r="D6" s="98" t="s">
        <v>400</v>
      </c>
      <c r="H6" s="125" t="s">
        <v>397</v>
      </c>
      <c r="I6">
        <f>VLOOKUP(I3,Carry,11)</f>
        <v>0.19123300000000001</v>
      </c>
      <c r="J6" s="125" t="s">
        <v>397</v>
      </c>
      <c r="K6">
        <f>VLOOKUP(K3,Carry,11)</f>
        <v>0.19123300000000001</v>
      </c>
      <c r="L6" s="125" t="s">
        <v>397</v>
      </c>
      <c r="M6">
        <f>VLOOKUP(M3,Carry,11)</f>
        <v>0.22353299999999998</v>
      </c>
      <c r="N6" s="125" t="s">
        <v>397</v>
      </c>
      <c r="O6">
        <f>VLOOKUP(O3,Carry,11)</f>
        <v>0.22353299999999998</v>
      </c>
      <c r="P6" s="125" t="s">
        <v>397</v>
      </c>
      <c r="Q6">
        <f>VLOOKUP(Q3,Carry,11)</f>
        <v>0.22353299999999998</v>
      </c>
      <c r="R6" s="125" t="s">
        <v>397</v>
      </c>
      <c r="S6">
        <f>VLOOKUP(S3,Carry,11)</f>
        <v>0.17483299999999996</v>
      </c>
      <c r="AC6" s="10" t="s">
        <v>449</v>
      </c>
    </row>
    <row r="7" spans="1:30" ht="25.5">
      <c r="A7" s="120" t="s">
        <v>1</v>
      </c>
      <c r="B7" s="94" t="s">
        <v>394</v>
      </c>
      <c r="C7" s="133"/>
      <c r="D7" s="94" t="s">
        <v>362</v>
      </c>
      <c r="E7" s="94" t="s">
        <v>363</v>
      </c>
      <c r="G7" s="2" t="s">
        <v>1</v>
      </c>
      <c r="H7" s="94" t="s">
        <v>362</v>
      </c>
      <c r="I7" s="94" t="s">
        <v>363</v>
      </c>
      <c r="J7" s="94" t="s">
        <v>362</v>
      </c>
      <c r="K7" s="94" t="s">
        <v>363</v>
      </c>
      <c r="L7" s="94" t="s">
        <v>362</v>
      </c>
      <c r="M7" s="94" t="s">
        <v>363</v>
      </c>
      <c r="N7" s="94" t="s">
        <v>362</v>
      </c>
      <c r="O7" s="94" t="s">
        <v>363</v>
      </c>
      <c r="P7" s="94" t="s">
        <v>362</v>
      </c>
      <c r="Q7" s="94" t="s">
        <v>363</v>
      </c>
      <c r="R7" s="94" t="s">
        <v>362</v>
      </c>
      <c r="S7" s="94" t="s">
        <v>363</v>
      </c>
      <c r="AC7" s="120" t="s">
        <v>1</v>
      </c>
      <c r="AD7" s="94" t="s">
        <v>448</v>
      </c>
    </row>
    <row r="8" spans="1:30" ht="12.75">
      <c r="A8" s="5" t="s">
        <v>5</v>
      </c>
      <c r="B8" s="5"/>
      <c r="C8" s="134"/>
      <c r="D8" s="130"/>
      <c r="E8" s="127"/>
      <c r="G8" s="5" t="s">
        <v>5</v>
      </c>
      <c r="H8" s="122"/>
      <c r="I8" s="123"/>
      <c r="J8" s="122"/>
      <c r="K8" s="123"/>
      <c r="L8" s="122"/>
      <c r="M8" s="123"/>
      <c r="N8" s="122"/>
      <c r="O8" s="123"/>
      <c r="P8" s="122"/>
      <c r="Q8" s="123"/>
      <c r="R8" s="122"/>
      <c r="S8" s="123"/>
      <c r="AC8" s="5" t="s">
        <v>5</v>
      </c>
      <c r="AD8" s="177" t="s">
        <v>56</v>
      </c>
    </row>
    <row r="9" spans="1:30" ht="12.75">
      <c r="A9" s="5" t="s">
        <v>6</v>
      </c>
      <c r="B9" s="5"/>
      <c r="C9" s="134"/>
      <c r="D9" s="130"/>
      <c r="E9" s="127"/>
      <c r="G9" s="5" t="s">
        <v>6</v>
      </c>
      <c r="H9" s="122"/>
      <c r="I9" s="123"/>
      <c r="J9" s="122"/>
      <c r="K9" s="123"/>
      <c r="L9" s="122"/>
      <c r="M9" s="123"/>
      <c r="N9" s="122"/>
      <c r="O9" s="123"/>
      <c r="P9" s="122"/>
      <c r="Q9" s="123"/>
      <c r="R9" s="122"/>
      <c r="S9" s="123"/>
      <c r="AC9" s="5" t="s">
        <v>6</v>
      </c>
      <c r="AD9" s="177" t="s">
        <v>56</v>
      </c>
    </row>
    <row r="10" spans="1:30" ht="12.75">
      <c r="A10" s="5" t="s">
        <v>7</v>
      </c>
      <c r="B10" s="119">
        <v>0.26842691570660077</v>
      </c>
      <c r="C10" s="135"/>
      <c r="D10" s="130">
        <f>SUM(H10,J10,L10,N10,P10,R10)</f>
        <v>346343.9110869846</v>
      </c>
      <c r="E10" s="127">
        <f>SUM(I10,K10,M10,O10,Q10,S10)</f>
        <v>64743.31145578888</v>
      </c>
      <c r="G10" s="5" t="s">
        <v>7</v>
      </c>
      <c r="H10" s="130">
        <f>0.33*B10*$I$5*$I$6</f>
        <v>27103.340548057167</v>
      </c>
      <c r="I10" s="127">
        <f>0.67*$I$5*$I$6*'MW-mi Impacts'!D9</f>
        <v>0</v>
      </c>
      <c r="J10" s="130">
        <f>0.33*B10*$K$5*$K$6</f>
        <v>122371.58257447812</v>
      </c>
      <c r="K10" s="127">
        <f>0.67*$K$5*$K$6*'MW-mi Impacts'!G9</f>
        <v>0</v>
      </c>
      <c r="L10" s="130">
        <f>0.33*$M$5*$M$6*B10</f>
        <v>73896.40025787949</v>
      </c>
      <c r="M10" s="127">
        <f>0.67*$M$5*$M$6*'MW-mi Impacts'!J9/(1-'MW-mi Impacts'!$J$7-'MW-mi Impacts'!$J$8)</f>
        <v>0</v>
      </c>
      <c r="N10" s="130">
        <f>0.33*$O$5*$O$6*B10</f>
        <v>94870.87967266134</v>
      </c>
      <c r="O10" s="127">
        <f>0.67*$O$5*$O$6*'MW-mi Impacts'!M9/(1-'MW-mi Impacts'!$M$7-'MW-mi Impacts'!$M$8)</f>
        <v>64743.31145578888</v>
      </c>
      <c r="P10" s="130">
        <f>0.33*$Q$5*$Q$6*B10</f>
        <v>19800.750337052385</v>
      </c>
      <c r="Q10" s="127">
        <f>0.67*$Q$5*$Q$6*'MW-mi Impacts'!P9</f>
        <v>0</v>
      </c>
      <c r="R10" s="130">
        <f>0.33*$S$5*$S$6*B10</f>
        <v>8300.957696856138</v>
      </c>
      <c r="S10" s="127">
        <f>0.67*$S$5*$S$6*'MW-mi Impacts'!S9</f>
        <v>0</v>
      </c>
      <c r="AC10" s="5" t="s">
        <v>7</v>
      </c>
      <c r="AD10" s="130"/>
    </row>
    <row r="11" spans="1:30" ht="12.75">
      <c r="A11" s="5" t="s">
        <v>8</v>
      </c>
      <c r="B11" s="119">
        <v>0.023359037702306462</v>
      </c>
      <c r="C11" s="135"/>
      <c r="D11" s="130">
        <f aca="true" t="shared" si="0" ref="D11:D22">SUM(H11,J11,L11,N11,P11,R11)</f>
        <v>30139.527758416243</v>
      </c>
      <c r="E11" s="127">
        <f aca="true" t="shared" si="1" ref="E11:E22">SUM(I11,K11,M11,O11,Q11,S11)</f>
        <v>0</v>
      </c>
      <c r="G11" s="5" t="s">
        <v>8</v>
      </c>
      <c r="H11" s="130">
        <f aca="true" t="shared" si="2" ref="H11:H22">0.33*B11*$I$5*$I$6</f>
        <v>2358.585956456491</v>
      </c>
      <c r="I11" s="127">
        <f>0.67*$I$5*$I$6*'MW-mi Impacts'!D10</f>
        <v>0</v>
      </c>
      <c r="J11" s="130">
        <f aca="true" t="shared" si="3" ref="J11:J22">0.33*B11*$K$5*$K$6</f>
        <v>10649.015593401056</v>
      </c>
      <c r="K11" s="127">
        <f>0.67*$K$5*$K$6*'MW-mi Impacts'!G10</f>
        <v>0</v>
      </c>
      <c r="L11" s="130">
        <f aca="true" t="shared" si="4" ref="L11:L22">0.33*$M$5*$M$6*B11</f>
        <v>6430.609967501441</v>
      </c>
      <c r="M11" s="127">
        <f>0.67*$M$5*$M$6*'MW-mi Impacts'!J10/(1-'MW-mi Impacts'!$J$7-'MW-mi Impacts'!$J$8)</f>
        <v>0</v>
      </c>
      <c r="N11" s="130">
        <f aca="true" t="shared" si="5" ref="N11:N22">0.33*$O$5*$O$6*B11</f>
        <v>8255.850384046196</v>
      </c>
      <c r="O11" s="127">
        <f>0.67*$O$5*$O$6*'MW-mi Impacts'!M10/(1-'MW-mi Impacts'!$M$7-'MW-mi Impacts'!$M$8)</f>
        <v>0</v>
      </c>
      <c r="P11" s="130">
        <f aca="true" t="shared" si="6" ref="P11:P22">0.33*$Q$5*$Q$6*B11</f>
        <v>1723.1002056541913</v>
      </c>
      <c r="Q11" s="127">
        <f>0.67*$Q$5*$Q$6*'MW-mi Impacts'!P10</f>
        <v>0</v>
      </c>
      <c r="R11" s="130">
        <f aca="true" t="shared" si="7" ref="R11:R22">0.33*$S$5*$S$6*B11</f>
        <v>722.3656513568671</v>
      </c>
      <c r="S11" s="127">
        <f>0.67*$S$5*$S$6*'MW-mi Impacts'!S10</f>
        <v>0</v>
      </c>
      <c r="AC11" s="5" t="s">
        <v>8</v>
      </c>
      <c r="AD11" s="130"/>
    </row>
    <row r="12" spans="1:30" ht="12.75">
      <c r="A12" s="5" t="s">
        <v>9</v>
      </c>
      <c r="B12" s="119">
        <v>0.1693140627525223</v>
      </c>
      <c r="C12" s="135"/>
      <c r="D12" s="130">
        <f t="shared" si="0"/>
        <v>218461.30646537736</v>
      </c>
      <c r="E12" s="127">
        <f t="shared" si="1"/>
        <v>1037787.6242928145</v>
      </c>
      <c r="G12" s="5" t="s">
        <v>9</v>
      </c>
      <c r="H12" s="130">
        <f t="shared" si="2"/>
        <v>17095.81429372244</v>
      </c>
      <c r="I12" s="127">
        <f>0.67*$I$5*$I$6*'MW-mi Impacts'!D11</f>
        <v>0</v>
      </c>
      <c r="J12" s="130">
        <f t="shared" si="3"/>
        <v>77187.60153615681</v>
      </c>
      <c r="K12" s="127">
        <f>0.67*$K$5*$K$6*'MW-mi Impacts'!G11</f>
        <v>15858.800137834767</v>
      </c>
      <c r="L12" s="130">
        <f t="shared" si="4"/>
        <v>46611.19663619651</v>
      </c>
      <c r="M12" s="127">
        <f>0.67*$M$5*$M$6*'MW-mi Impacts'!J11/(1-'MW-mi Impacts'!$J$7-'MW-mi Impacts'!$J$8)</f>
        <v>383177.1244673532</v>
      </c>
      <c r="N12" s="130">
        <f t="shared" si="5"/>
        <v>59841.14533373144</v>
      </c>
      <c r="O12" s="127">
        <f>0.67*$O$5*$O$6*'MW-mi Impacts'!M11/(1-'MW-mi Impacts'!$M$7-'MW-mi Impacts'!$M$8)</f>
        <v>510506.54864119546</v>
      </c>
      <c r="P12" s="130">
        <f t="shared" si="6"/>
        <v>12489.602528455658</v>
      </c>
      <c r="Q12" s="127">
        <f>0.67*$Q$5*$Q$6*'MW-mi Impacts'!P11</f>
        <v>128245.15104643103</v>
      </c>
      <c r="R12" s="130">
        <f t="shared" si="7"/>
        <v>5235.946137114491</v>
      </c>
      <c r="S12" s="127">
        <f>0.67*$S$5*$S$6*'MW-mi Impacts'!S11</f>
        <v>0</v>
      </c>
      <c r="AC12" s="5" t="s">
        <v>9</v>
      </c>
      <c r="AD12" s="130">
        <f>M5*M6+O5*O6+Q5*Q6</f>
        <v>2128766.6776409997</v>
      </c>
    </row>
    <row r="13" spans="1:30" ht="12.75">
      <c r="A13" s="5" t="s">
        <v>10</v>
      </c>
      <c r="B13" s="119">
        <v>0.037757139888717005</v>
      </c>
      <c r="C13" s="135"/>
      <c r="D13" s="130">
        <f t="shared" si="0"/>
        <v>48717.005394534186</v>
      </c>
      <c r="E13" s="127">
        <f t="shared" si="1"/>
        <v>57320.82163270346</v>
      </c>
      <c r="G13" s="5" t="s">
        <v>10</v>
      </c>
      <c r="H13" s="130">
        <f t="shared" si="2"/>
        <v>3812.3770778750027</v>
      </c>
      <c r="I13" s="127">
        <f>0.67*$I$5*$I$6*'MW-mi Impacts'!D12</f>
        <v>0</v>
      </c>
      <c r="J13" s="130">
        <f t="shared" si="3"/>
        <v>17212.882506605638</v>
      </c>
      <c r="K13" s="127">
        <f>0.67*$K$5*$K$6*'MW-mi Impacts'!G12</f>
        <v>0</v>
      </c>
      <c r="L13" s="130">
        <f t="shared" si="4"/>
        <v>10394.32545154699</v>
      </c>
      <c r="M13" s="127">
        <f>0.67*$M$5*$M$6*'MW-mi Impacts'!J12/(1-'MW-mi Impacts'!$J$7-'MW-mi Impacts'!$J$8)</f>
        <v>35798.86267913451</v>
      </c>
      <c r="N13" s="130">
        <f t="shared" si="5"/>
        <v>13344.612129290386</v>
      </c>
      <c r="O13" s="127">
        <f>0.67*$O$5*$O$6*'MW-mi Impacts'!M12/(1-'MW-mi Impacts'!$M$7-'MW-mi Impacts'!$M$8)</f>
        <v>0</v>
      </c>
      <c r="P13" s="130">
        <f t="shared" si="6"/>
        <v>2785.189027745711</v>
      </c>
      <c r="Q13" s="127">
        <f>0.67*$Q$5*$Q$6*'MW-mi Impacts'!P12</f>
        <v>21521.958953568952</v>
      </c>
      <c r="R13" s="130">
        <f t="shared" si="7"/>
        <v>1167.6192014704588</v>
      </c>
      <c r="S13" s="127">
        <f>0.67*$S$5*$S$6*'MW-mi Impacts'!S12</f>
        <v>0</v>
      </c>
      <c r="AC13" s="5" t="s">
        <v>10</v>
      </c>
      <c r="AD13" s="130"/>
    </row>
    <row r="14" spans="1:30" ht="12.75">
      <c r="A14" s="5" t="s">
        <v>11</v>
      </c>
      <c r="B14" s="119">
        <v>0.13787142428370233</v>
      </c>
      <c r="C14" s="135"/>
      <c r="D14" s="130">
        <f t="shared" si="0"/>
        <v>177891.72962723242</v>
      </c>
      <c r="E14" s="127">
        <f t="shared" si="1"/>
        <v>38536.66972569129</v>
      </c>
      <c r="G14" s="5" t="s">
        <v>11</v>
      </c>
      <c r="H14" s="130">
        <f t="shared" si="2"/>
        <v>13921.018890263893</v>
      </c>
      <c r="I14" s="127">
        <f>0.67*$I$5*$I$6*'MW-mi Impacts'!D13</f>
        <v>0</v>
      </c>
      <c r="J14" s="130">
        <f t="shared" si="3"/>
        <v>62853.400289541474</v>
      </c>
      <c r="K14" s="127">
        <f>0.67*$K$5*$K$6*'MW-mi Impacts'!G13</f>
        <v>14562.767633316416</v>
      </c>
      <c r="L14" s="130">
        <f t="shared" si="4"/>
        <v>37955.21744223454</v>
      </c>
      <c r="M14" s="127">
        <f>0.67*$M$5*$M$6*'MW-mi Impacts'!J13/(1-'MW-mi Impacts'!$J$7-'MW-mi Impacts'!$J$8)</f>
        <v>0</v>
      </c>
      <c r="N14" s="130">
        <f t="shared" si="5"/>
        <v>48728.28519854694</v>
      </c>
      <c r="O14" s="127">
        <f>0.67*$O$5*$O$6*'MW-mi Impacts'!M13/(1-'MW-mi Impacts'!$M$7-'MW-mi Impacts'!$M$8)</f>
        <v>23973.902092374872</v>
      </c>
      <c r="P14" s="130">
        <f t="shared" si="6"/>
        <v>10170.208317854915</v>
      </c>
      <c r="Q14" s="127">
        <f>0.67*$Q$5*$Q$6*'MW-mi Impacts'!P13</f>
        <v>0</v>
      </c>
      <c r="R14" s="130">
        <f t="shared" si="7"/>
        <v>4263.599488790662</v>
      </c>
      <c r="S14" s="127">
        <f>0.67*$S$5*$S$6*'MW-mi Impacts'!S13</f>
        <v>0</v>
      </c>
      <c r="AC14" s="5" t="s">
        <v>11</v>
      </c>
      <c r="AD14" s="130"/>
    </row>
    <row r="15" spans="1:30" ht="12.75">
      <c r="A15" s="5" t="s">
        <v>12</v>
      </c>
      <c r="B15" s="119">
        <v>0.008591531410892802</v>
      </c>
      <c r="C15" s="135"/>
      <c r="D15" s="130">
        <f t="shared" si="0"/>
        <v>11085.418104374248</v>
      </c>
      <c r="E15" s="127">
        <f t="shared" si="1"/>
        <v>0</v>
      </c>
      <c r="G15" s="5" t="s">
        <v>12</v>
      </c>
      <c r="H15" s="130">
        <f t="shared" si="2"/>
        <v>867.4957242860111</v>
      </c>
      <c r="I15" s="127">
        <f>0.67*$I$5*$I$6*'MW-mi Impacts'!D14</f>
        <v>0</v>
      </c>
      <c r="J15" s="130">
        <f t="shared" si="3"/>
        <v>3916.74319515134</v>
      </c>
      <c r="K15" s="127">
        <f>0.67*$K$5*$K$6*'MW-mi Impacts'!G14</f>
        <v>0</v>
      </c>
      <c r="L15" s="130">
        <f t="shared" si="4"/>
        <v>2365.1996384052127</v>
      </c>
      <c r="M15" s="127">
        <f>0.67*$M$5*$M$6*'MW-mi Impacts'!J14/(1-'MW-mi Impacts'!$J$7-'MW-mi Impacts'!$J$8)</f>
        <v>0</v>
      </c>
      <c r="N15" s="130">
        <f t="shared" si="5"/>
        <v>3036.5291071541296</v>
      </c>
      <c r="O15" s="127">
        <f>0.67*$O$5*$O$6*'MW-mi Impacts'!M14/(1-'MW-mi Impacts'!$M$7-'MW-mi Impacts'!$M$8)</f>
        <v>0</v>
      </c>
      <c r="P15" s="130">
        <f t="shared" si="6"/>
        <v>633.7619609874632</v>
      </c>
      <c r="Q15" s="127">
        <f>0.67*$Q$5*$Q$6*'MW-mi Impacts'!P14</f>
        <v>0</v>
      </c>
      <c r="R15" s="130">
        <f t="shared" si="7"/>
        <v>265.68847839009067</v>
      </c>
      <c r="S15" s="127">
        <f>0.67*$S$5*$S$6*'MW-mi Impacts'!S14</f>
        <v>0</v>
      </c>
      <c r="AC15" s="5" t="s">
        <v>12</v>
      </c>
      <c r="AD15" s="130"/>
    </row>
    <row r="16" spans="1:30" ht="12.75">
      <c r="A16" s="5" t="s">
        <v>13</v>
      </c>
      <c r="B16" s="119">
        <v>0.011644887216309189</v>
      </c>
      <c r="C16" s="135"/>
      <c r="D16" s="130">
        <f t="shared" si="0"/>
        <v>15025.07962752774</v>
      </c>
      <c r="E16" s="127">
        <f t="shared" si="1"/>
        <v>21696.20507735465</v>
      </c>
      <c r="G16" s="5" t="s">
        <v>13</v>
      </c>
      <c r="H16" s="130">
        <f t="shared" si="2"/>
        <v>1175.7961865952486</v>
      </c>
      <c r="I16" s="127">
        <f>0.67*$I$5*$I$6*'MW-mi Impacts'!D15</f>
        <v>0</v>
      </c>
      <c r="J16" s="130">
        <f t="shared" si="3"/>
        <v>5308.719782477547</v>
      </c>
      <c r="K16" s="127">
        <f>0.67*$K$5*$K$6*'MW-mi Impacts'!G15</f>
        <v>21696.20507735465</v>
      </c>
      <c r="L16" s="130">
        <f t="shared" si="4"/>
        <v>3205.7710920272193</v>
      </c>
      <c r="M16" s="127">
        <f>0.67*$M$5*$M$6*'MW-mi Impacts'!J15/(1-'MW-mi Impacts'!$J$7-'MW-mi Impacts'!$J$8)</f>
        <v>0</v>
      </c>
      <c r="N16" s="130">
        <f t="shared" si="5"/>
        <v>4115.68523593111</v>
      </c>
      <c r="O16" s="127">
        <f>0.67*$O$5*$O$6*'MW-mi Impacts'!M15/(1-'MW-mi Impacts'!$M$7-'MW-mi Impacts'!$M$8)</f>
        <v>0</v>
      </c>
      <c r="P16" s="130">
        <f t="shared" si="6"/>
        <v>858.9954694606698</v>
      </c>
      <c r="Q16" s="127">
        <f>0.67*$Q$5*$Q$6*'MW-mi Impacts'!P15</f>
        <v>0</v>
      </c>
      <c r="R16" s="130">
        <f t="shared" si="7"/>
        <v>360.1118610359475</v>
      </c>
      <c r="S16" s="127">
        <f>0.67*$S$5*$S$6*'MW-mi Impacts'!S15</f>
        <v>0</v>
      </c>
      <c r="AC16" s="5" t="s">
        <v>13</v>
      </c>
      <c r="AD16" s="130"/>
    </row>
    <row r="17" spans="1:30" ht="12.75">
      <c r="A17" s="5" t="s">
        <v>14</v>
      </c>
      <c r="B17" s="119">
        <v>0.1379637753099531</v>
      </c>
      <c r="C17" s="135"/>
      <c r="D17" s="130">
        <f t="shared" si="0"/>
        <v>178010.8876317134</v>
      </c>
      <c r="E17" s="127">
        <f t="shared" si="1"/>
        <v>1262825.4424077917</v>
      </c>
      <c r="G17" s="5" t="s">
        <v>14</v>
      </c>
      <c r="H17" s="130">
        <f t="shared" si="2"/>
        <v>13930.343667951882</v>
      </c>
      <c r="I17" s="127">
        <f>0.67*$I$5*$I$6*'MW-mi Impacts'!D16</f>
        <v>205001.776</v>
      </c>
      <c r="J17" s="130">
        <f t="shared" si="3"/>
        <v>62895.50166080275</v>
      </c>
      <c r="K17" s="127">
        <f>0.67*$K$5*$K$6*'MW-mi Impacts'!G16</f>
        <v>799516.8517241689</v>
      </c>
      <c r="L17" s="130">
        <f t="shared" si="4"/>
        <v>37980.64115349721</v>
      </c>
      <c r="M17" s="127">
        <f>0.67*$M$5*$M$6*'MW-mi Impacts'!J16/(1-'MW-mi Impacts'!$J$7-'MW-mi Impacts'!$J$8)</f>
        <v>139954.8673735121</v>
      </c>
      <c r="N17" s="130">
        <f t="shared" si="5"/>
        <v>48760.92508145891</v>
      </c>
      <c r="O17" s="127">
        <f>0.67*$O$5*$O$6*'MW-mi Impacts'!M16/(1-'MW-mi Impacts'!$M$7-'MW-mi Impacts'!$M$8)</f>
        <v>118351.94731011076</v>
      </c>
      <c r="P17" s="130">
        <f t="shared" si="6"/>
        <v>10177.020673498717</v>
      </c>
      <c r="Q17" s="127">
        <f>0.67*$Q$5*$Q$6*'MW-mi Impacts'!P16</f>
        <v>0</v>
      </c>
      <c r="R17" s="130">
        <f t="shared" si="7"/>
        <v>4266.455394503958</v>
      </c>
      <c r="S17" s="127">
        <f>0.67*$S$5*$S$6*'MW-mi Impacts'!S16</f>
        <v>0</v>
      </c>
      <c r="AC17" s="5" t="s">
        <v>14</v>
      </c>
      <c r="AD17" s="130">
        <f>I5*I6+K5*K6</f>
        <v>1687439.992</v>
      </c>
    </row>
    <row r="18" spans="1:30" ht="12.75">
      <c r="A18" s="5" t="s">
        <v>15</v>
      </c>
      <c r="B18" s="119">
        <v>0.014499111121372334</v>
      </c>
      <c r="C18" s="135"/>
      <c r="D18" s="130">
        <f t="shared" si="0"/>
        <v>18707.80670351905</v>
      </c>
      <c r="E18" s="127">
        <f t="shared" si="1"/>
        <v>26218.109129454206</v>
      </c>
      <c r="G18" s="5" t="s">
        <v>15</v>
      </c>
      <c r="H18" s="130">
        <f t="shared" si="2"/>
        <v>1463.990097014753</v>
      </c>
      <c r="I18" s="127">
        <f>0.67*$I$5*$I$6*'MW-mi Impacts'!D17</f>
        <v>0</v>
      </c>
      <c r="J18" s="130">
        <f t="shared" si="3"/>
        <v>6609.91528802161</v>
      </c>
      <c r="K18" s="127">
        <f>0.67*$K$5*$K$6*'MW-mi Impacts'!G17</f>
        <v>26218.109129454206</v>
      </c>
      <c r="L18" s="130">
        <f t="shared" si="4"/>
        <v>3991.5226682390958</v>
      </c>
      <c r="M18" s="127">
        <f>0.67*$M$5*$M$6*'MW-mi Impacts'!J17/(1-'MW-mi Impacts'!$J$7-'MW-mi Impacts'!$J$8)</f>
        <v>0</v>
      </c>
      <c r="N18" s="130">
        <f t="shared" si="5"/>
        <v>5124.461617179157</v>
      </c>
      <c r="O18" s="127">
        <f>0.67*$O$5*$O$6*'MW-mi Impacts'!M17/(1-'MW-mi Impacts'!$M$7-'MW-mi Impacts'!$M$8)</f>
        <v>0</v>
      </c>
      <c r="P18" s="130">
        <f t="shared" si="6"/>
        <v>1069.5398360769282</v>
      </c>
      <c r="Q18" s="127">
        <f>0.67*$Q$5*$Q$6*'MW-mi Impacts'!P17</f>
        <v>0</v>
      </c>
      <c r="R18" s="130">
        <f t="shared" si="7"/>
        <v>448.37719698750936</v>
      </c>
      <c r="S18" s="127">
        <f>0.67*$S$5*$S$6*'MW-mi Impacts'!S17</f>
        <v>0</v>
      </c>
      <c r="AC18" s="5" t="s">
        <v>15</v>
      </c>
      <c r="AD18" s="130"/>
    </row>
    <row r="19" spans="1:30" ht="12.75">
      <c r="A19" s="5" t="s">
        <v>16</v>
      </c>
      <c r="B19" s="119">
        <v>0.0483371043335719</v>
      </c>
      <c r="C19" s="135"/>
      <c r="D19" s="130">
        <f t="shared" si="0"/>
        <v>62368.04428289024</v>
      </c>
      <c r="E19" s="127">
        <f t="shared" si="1"/>
        <v>62786.02695999999</v>
      </c>
      <c r="G19" s="5" t="s">
        <v>16</v>
      </c>
      <c r="H19" s="130">
        <f t="shared" si="2"/>
        <v>4880.646921755592</v>
      </c>
      <c r="I19" s="127">
        <f>0.67*$I$5*$I$6*'MW-mi Impacts'!D18</f>
        <v>0</v>
      </c>
      <c r="J19" s="130">
        <f t="shared" si="3"/>
        <v>22036.1208517265</v>
      </c>
      <c r="K19" s="127">
        <f>0.67*$K$5*$K$6*'MW-mi Impacts'!G18</f>
        <v>0</v>
      </c>
      <c r="L19" s="130">
        <f t="shared" si="4"/>
        <v>13306.929373076555</v>
      </c>
      <c r="M19" s="127">
        <f>0.67*$M$5*$M$6*'MW-mi Impacts'!J18/(1-'MW-mi Impacts'!$J$7-'MW-mi Impacts'!$J$8)</f>
        <v>0</v>
      </c>
      <c r="N19" s="130">
        <f t="shared" si="5"/>
        <v>17083.91871539285</v>
      </c>
      <c r="O19" s="127">
        <f>0.67*$O$5*$O$6*'MW-mi Impacts'!M18/(1-'MW-mi Impacts'!$M$7-'MW-mi Impacts'!$M$8)</f>
        <v>0</v>
      </c>
      <c r="P19" s="130">
        <f t="shared" si="6"/>
        <v>3565.6295211887877</v>
      </c>
      <c r="Q19" s="127">
        <f>0.67*$Q$5*$Q$6*'MW-mi Impacts'!P18</f>
        <v>0</v>
      </c>
      <c r="R19" s="130">
        <f t="shared" si="7"/>
        <v>1494.798899749959</v>
      </c>
      <c r="S19" s="127">
        <f>0.67*$S$5*$S$6*'MW-mi Impacts'!S18</f>
        <v>62786.02695999999</v>
      </c>
      <c r="AC19" s="5" t="s">
        <v>16</v>
      </c>
      <c r="AD19" s="130">
        <f>S6*S5</f>
        <v>93710.48799999998</v>
      </c>
    </row>
    <row r="20" spans="1:30" ht="12.75">
      <c r="A20" s="5" t="s">
        <v>17</v>
      </c>
      <c r="B20" s="119">
        <v>0.09225867522452841</v>
      </c>
      <c r="C20" s="135"/>
      <c r="D20" s="130">
        <f t="shared" si="0"/>
        <v>119038.84647653204</v>
      </c>
      <c r="E20" s="127">
        <f t="shared" si="1"/>
        <v>47730.28493787122</v>
      </c>
      <c r="G20" s="5" t="s">
        <v>17</v>
      </c>
      <c r="H20" s="130">
        <f t="shared" si="2"/>
        <v>9315.452910304064</v>
      </c>
      <c r="I20" s="127">
        <f>0.67*$I$5*$I$6*'MW-mi Impacts'!D19</f>
        <v>0</v>
      </c>
      <c r="J20" s="130">
        <f t="shared" si="3"/>
        <v>42059.26989002285</v>
      </c>
      <c r="K20" s="127">
        <f>0.67*$K$5*$K$6*'MW-mi Impacts'!G19</f>
        <v>47730.28493787122</v>
      </c>
      <c r="L20" s="130">
        <f t="shared" si="4"/>
        <v>25398.287551406727</v>
      </c>
      <c r="M20" s="127">
        <f>0.67*$M$5*$M$6*'MW-mi Impacts'!J19/(1-'MW-mi Impacts'!$J$7-'MW-mi Impacts'!$J$8)</f>
        <v>0</v>
      </c>
      <c r="N20" s="130">
        <f t="shared" si="5"/>
        <v>32607.243029057176</v>
      </c>
      <c r="O20" s="127">
        <f>0.67*$O$5*$O$6*'MW-mi Impacts'!M19/(1-'MW-mi Impacts'!$M$7-'MW-mi Impacts'!$M$8)</f>
        <v>0</v>
      </c>
      <c r="P20" s="130">
        <f t="shared" si="6"/>
        <v>6805.543288158287</v>
      </c>
      <c r="Q20" s="127">
        <f>0.67*$Q$5*$Q$6*'MW-mi Impacts'!P19</f>
        <v>0</v>
      </c>
      <c r="R20" s="130">
        <f t="shared" si="7"/>
        <v>2853.0498075829414</v>
      </c>
      <c r="S20" s="127">
        <f>0.67*$S$5*$S$6*'MW-mi Impacts'!S19</f>
        <v>0</v>
      </c>
      <c r="AC20" s="5" t="s">
        <v>17</v>
      </c>
      <c r="AD20" s="130"/>
    </row>
    <row r="21" spans="1:30" ht="12.75">
      <c r="A21" s="5" t="s">
        <v>18</v>
      </c>
      <c r="B21" s="119">
        <v>0.031468612194953005</v>
      </c>
      <c r="C21" s="135"/>
      <c r="D21" s="130">
        <f t="shared" si="0"/>
        <v>40603.09002690519</v>
      </c>
      <c r="E21" s="127">
        <f t="shared" si="1"/>
        <v>0</v>
      </c>
      <c r="G21" s="5" t="s">
        <v>18</v>
      </c>
      <c r="H21" s="130">
        <f t="shared" si="2"/>
        <v>3177.4179971832928</v>
      </c>
      <c r="I21" s="127">
        <f>0.67*$I$5*$I$6*'MW-mi Impacts'!D20</f>
        <v>0</v>
      </c>
      <c r="J21" s="130">
        <f t="shared" si="3"/>
        <v>14346.042257282568</v>
      </c>
      <c r="K21" s="127">
        <f>0.67*$K$5*$K$6*'MW-mi Impacts'!G20</f>
        <v>0</v>
      </c>
      <c r="L21" s="130">
        <f t="shared" si="4"/>
        <v>8663.129612754596</v>
      </c>
      <c r="M21" s="127">
        <f>0.67*$M$5*$M$6*'MW-mi Impacts'!J20/(1-'MW-mi Impacts'!$J$7-'MW-mi Impacts'!$J$8)</f>
        <v>0</v>
      </c>
      <c r="N21" s="130">
        <f t="shared" si="5"/>
        <v>11122.040102253484</v>
      </c>
      <c r="O21" s="127">
        <f>0.67*$O$5*$O$6*'MW-mi Impacts'!M20/(1-'MW-mi Impacts'!$M$7-'MW-mi Impacts'!$M$8)</f>
        <v>0</v>
      </c>
      <c r="P21" s="130">
        <f t="shared" si="6"/>
        <v>2321.310185625562</v>
      </c>
      <c r="Q21" s="127">
        <f>0.67*$Q$5*$Q$6*'MW-mi Impacts'!P20</f>
        <v>0</v>
      </c>
      <c r="R21" s="130">
        <f t="shared" si="7"/>
        <v>973.1498718056929</v>
      </c>
      <c r="S21" s="127">
        <f>0.67*$S$5*$S$6*'MW-mi Impacts'!S20</f>
        <v>0</v>
      </c>
      <c r="AC21" s="5" t="s">
        <v>18</v>
      </c>
      <c r="AD21" s="130"/>
    </row>
    <row r="22" spans="1:30" ht="12.75">
      <c r="A22" s="5" t="s">
        <v>19</v>
      </c>
      <c r="B22" s="119">
        <v>0.018507722854570217</v>
      </c>
      <c r="C22" s="135"/>
      <c r="D22" s="130">
        <f t="shared" si="0"/>
        <v>23880.008835523025</v>
      </c>
      <c r="E22" s="127">
        <f t="shared" si="1"/>
        <v>0</v>
      </c>
      <c r="G22" s="5" t="s">
        <v>19</v>
      </c>
      <c r="H22" s="130">
        <f t="shared" si="2"/>
        <v>1868.743728534158</v>
      </c>
      <c r="I22" s="127">
        <f>0.67*$I$5*$I$6*'MW-mi Impacts'!D21</f>
        <v>0</v>
      </c>
      <c r="J22" s="130">
        <f t="shared" si="3"/>
        <v>8437.377934331724</v>
      </c>
      <c r="K22" s="127">
        <f>0.67*$K$5*$K$6*'MW-mi Impacts'!G21</f>
        <v>0</v>
      </c>
      <c r="L22" s="130">
        <f t="shared" si="4"/>
        <v>5095.070635234339</v>
      </c>
      <c r="M22" s="127">
        <f>0.67*$M$5*$M$6*'MW-mi Impacts'!J21/(1-'MW-mi Impacts'!$J$7-'MW-mi Impacts'!$J$8)</f>
        <v>0</v>
      </c>
      <c r="N22" s="130">
        <f t="shared" si="5"/>
        <v>6541.236534826817</v>
      </c>
      <c r="O22" s="127">
        <f>0.67*$O$5*$O$6*'MW-mi Impacts'!M21/(1-'MW-mi Impacts'!$M$7-'MW-mi Impacts'!$M$8)</f>
        <v>0</v>
      </c>
      <c r="P22" s="130">
        <f t="shared" si="6"/>
        <v>1365.2386482407126</v>
      </c>
      <c r="Q22" s="127">
        <f>0.67*$Q$5*$Q$6*'MW-mi Impacts'!P21</f>
        <v>0</v>
      </c>
      <c r="R22" s="130">
        <f t="shared" si="7"/>
        <v>572.3413543552741</v>
      </c>
      <c r="S22" s="127">
        <f>0.67*$S$5*$S$6*'MW-mi Impacts'!S21</f>
        <v>0</v>
      </c>
      <c r="AC22" s="5" t="s">
        <v>19</v>
      </c>
      <c r="AD22" s="130"/>
    </row>
    <row r="23" spans="1:30" ht="12.75">
      <c r="A23" s="2" t="s">
        <v>20</v>
      </c>
      <c r="B23" s="119">
        <v>1</v>
      </c>
      <c r="C23" s="135"/>
      <c r="D23" s="130">
        <f>SUM(D8:D22)</f>
        <v>1290272.6620215299</v>
      </c>
      <c r="E23" s="127">
        <f>SUM(E8:E22)</f>
        <v>2619644.4956194693</v>
      </c>
      <c r="G23" s="2" t="s">
        <v>20</v>
      </c>
      <c r="H23" s="130">
        <f>SUM(H8:H22)</f>
        <v>100971.024</v>
      </c>
      <c r="I23" s="127">
        <f aca="true" t="shared" si="8" ref="I23:O23">SUM(I8:I22)</f>
        <v>205001.776</v>
      </c>
      <c r="J23" s="130">
        <f t="shared" si="8"/>
        <v>455884.17336</v>
      </c>
      <c r="K23" s="127">
        <f t="shared" si="8"/>
        <v>925583.0186400003</v>
      </c>
      <c r="L23" s="130">
        <f t="shared" si="8"/>
        <v>275294.30147999997</v>
      </c>
      <c r="M23" s="127">
        <f t="shared" si="8"/>
        <v>558930.8545199998</v>
      </c>
      <c r="N23" s="130">
        <f t="shared" si="8"/>
        <v>353432.8121415299</v>
      </c>
      <c r="O23" s="127">
        <f t="shared" si="8"/>
        <v>717575.70949947</v>
      </c>
      <c r="P23" s="130">
        <f>SUM(P8:P22)</f>
        <v>73765.88999999998</v>
      </c>
      <c r="Q23" s="127">
        <f>SUM(Q8:Q22)</f>
        <v>149767.11</v>
      </c>
      <c r="R23" s="130">
        <f>SUM(R8:R22)</f>
        <v>30924.46103999999</v>
      </c>
      <c r="S23" s="127">
        <f>SUM(S8:S22)</f>
        <v>62786.02695999999</v>
      </c>
      <c r="AC23" s="2" t="s">
        <v>20</v>
      </c>
      <c r="AD23" s="130">
        <f>SUM(AD8:AD22)</f>
        <v>3909917.1576409996</v>
      </c>
    </row>
    <row r="24" spans="4:30" ht="12.75">
      <c r="D24" s="136">
        <f>SUM(H24,J24,L24,N24,P24,R24)</f>
        <v>1290272.6620215299</v>
      </c>
      <c r="E24" s="136">
        <f>SUM(I24,K24,M24,O24,Q24,S24)</f>
        <v>2619644.49561947</v>
      </c>
      <c r="G24" s="11"/>
      <c r="H24" s="131">
        <f>I5*I6*0.33</f>
        <v>100971.02400000002</v>
      </c>
      <c r="I24" s="131">
        <f>I5*I6*0.67</f>
        <v>205001.77600000004</v>
      </c>
      <c r="J24" s="131">
        <f>K5*K6*0.33</f>
        <v>455884.17336</v>
      </c>
      <c r="K24" s="131">
        <f>K5*K6*0.67</f>
        <v>925583.01864</v>
      </c>
      <c r="L24" s="131">
        <f>M5*M6*0.33</f>
        <v>275294.30148</v>
      </c>
      <c r="M24" s="131">
        <f>M5*M6*0.67</f>
        <v>558930.85452</v>
      </c>
      <c r="N24" s="131">
        <f>O5*O6*0.33</f>
        <v>353432.81214153</v>
      </c>
      <c r="O24" s="131">
        <f>O5*O6*0.67</f>
        <v>717575.70949947</v>
      </c>
      <c r="P24" s="131">
        <f>Q5*Q6*0.33</f>
        <v>73765.89</v>
      </c>
      <c r="Q24" s="131">
        <f>Q5*Q6*0.67</f>
        <v>149767.11</v>
      </c>
      <c r="R24" s="131">
        <f>S5*S6*0.33</f>
        <v>30924.461039999995</v>
      </c>
      <c r="S24" s="131">
        <f>S5*S6*0.67</f>
        <v>62786.026959999996</v>
      </c>
      <c r="AD24" s="136">
        <f>SUM(D24:E24)</f>
        <v>3909917.1576409996</v>
      </c>
    </row>
    <row r="25" ht="20.25">
      <c r="A25" s="15">
        <v>2007</v>
      </c>
    </row>
    <row r="26" spans="1:23" ht="20.25">
      <c r="A26" s="15"/>
      <c r="H26" s="10" t="s">
        <v>398</v>
      </c>
      <c r="I26" t="s">
        <v>11</v>
      </c>
      <c r="J26" s="10" t="s">
        <v>398</v>
      </c>
      <c r="K26" t="s">
        <v>11</v>
      </c>
      <c r="L26" s="10" t="s">
        <v>398</v>
      </c>
      <c r="M26" t="s">
        <v>18</v>
      </c>
      <c r="N26" s="10" t="s">
        <v>398</v>
      </c>
      <c r="O26" t="s">
        <v>9</v>
      </c>
      <c r="P26" s="10" t="s">
        <v>398</v>
      </c>
      <c r="Q26" t="s">
        <v>7</v>
      </c>
      <c r="R26" s="10" t="s">
        <v>398</v>
      </c>
      <c r="S26" t="s">
        <v>8</v>
      </c>
      <c r="T26" s="10" t="s">
        <v>398</v>
      </c>
      <c r="U26" t="s">
        <v>142</v>
      </c>
      <c r="V26" s="10" t="s">
        <v>398</v>
      </c>
      <c r="W26" t="s">
        <v>142</v>
      </c>
    </row>
    <row r="27" spans="8:23" ht="38.25">
      <c r="H27" s="128" t="s">
        <v>395</v>
      </c>
      <c r="I27" s="129" t="str">
        <f>'MW-mi Impacts'!B26</f>
        <v>Crosby Co Int Xfer</v>
      </c>
      <c r="J27" s="128" t="s">
        <v>395</v>
      </c>
      <c r="K27" s="129" t="str">
        <f>'MW-mi Impacts'!E26</f>
        <v>Curry Co Int Xfer</v>
      </c>
      <c r="L27" s="128" t="s">
        <v>395</v>
      </c>
      <c r="M27" s="129" t="str">
        <f>'MW-mi Impacts'!H26</f>
        <v>ReinMiller - Tipton Ford</v>
      </c>
      <c r="N27" s="128" t="s">
        <v>395</v>
      </c>
      <c r="O27" s="129" t="str">
        <f>'MW-mi Impacts'!K26</f>
        <v>Richards - Piedmont</v>
      </c>
      <c r="P27" s="128" t="s">
        <v>395</v>
      </c>
      <c r="Q27" s="129" t="str">
        <f>'MW-mi Impacts'!N26</f>
        <v>Siloam Springs - Chamber Springs</v>
      </c>
      <c r="R27" s="128" t="s">
        <v>395</v>
      </c>
      <c r="S27" s="129" t="str">
        <f>'MW-mi Impacts'!Q26</f>
        <v>Stilwell City Xfer</v>
      </c>
      <c r="T27" s="128" t="s">
        <v>395</v>
      </c>
      <c r="U27" s="129" t="str">
        <f>'MW-mi Impacts'!T26</f>
        <v>HTI Jct - Circleville</v>
      </c>
      <c r="V27" s="128" t="s">
        <v>395</v>
      </c>
      <c r="W27" s="129" t="str">
        <f>'2007 Q1 Project List'!C46</f>
        <v>Line - Stranger Creek - Thornton Street 115 kV</v>
      </c>
    </row>
    <row r="28" spans="8:23" ht="12.75">
      <c r="H28" s="124" t="s">
        <v>396</v>
      </c>
      <c r="I28" s="126">
        <f>'2007 Q1 Project List'!F25</f>
        <v>1000000</v>
      </c>
      <c r="J28" s="124" t="s">
        <v>396</v>
      </c>
      <c r="K28" s="126">
        <f>'2007 Q1 Project List'!F26</f>
        <v>1000000</v>
      </c>
      <c r="L28" s="124" t="s">
        <v>396</v>
      </c>
      <c r="M28" s="126">
        <f>'2006 Apprv Base Plan List'!G14</f>
        <v>3215000</v>
      </c>
      <c r="N28" s="124" t="s">
        <v>396</v>
      </c>
      <c r="O28" s="126">
        <f>'2006 Apprv Base Plan List'!G24</f>
        <v>3800000</v>
      </c>
      <c r="P28" s="124" t="s">
        <v>396</v>
      </c>
      <c r="Q28" s="126">
        <f>'2006 Apprv Base Plan List'!G9</f>
        <v>6627225</v>
      </c>
      <c r="R28" s="124" t="s">
        <v>396</v>
      </c>
      <c r="S28" s="126">
        <f>'2006 Apprv Base Plan List'!G15</f>
        <v>1800000</v>
      </c>
      <c r="T28" s="124" t="s">
        <v>396</v>
      </c>
      <c r="U28" s="126">
        <f>'2007 Q1 Project List'!F39</f>
        <v>2360000</v>
      </c>
      <c r="V28" s="124" t="s">
        <v>396</v>
      </c>
      <c r="W28" s="126">
        <f>'2007 Q1 Project List'!F46</f>
        <v>2500000</v>
      </c>
    </row>
    <row r="29" spans="4:29" ht="12.75">
      <c r="D29" s="98" t="s">
        <v>400</v>
      </c>
      <c r="H29" s="125" t="s">
        <v>397</v>
      </c>
      <c r="I29">
        <f>VLOOKUP(I26,Carry,11)</f>
        <v>0.167033</v>
      </c>
      <c r="J29" s="125" t="s">
        <v>397</v>
      </c>
      <c r="K29">
        <f>VLOOKUP(K26,Carry,11)</f>
        <v>0.167033</v>
      </c>
      <c r="L29" s="125" t="s">
        <v>397</v>
      </c>
      <c r="M29">
        <f>VLOOKUP(M26,Carry,11)</f>
        <v>0.183033</v>
      </c>
      <c r="N29" s="125" t="s">
        <v>397</v>
      </c>
      <c r="O29">
        <f>VLOOKUP(O26,Carry,11)</f>
        <v>0.22353299999999998</v>
      </c>
      <c r="P29" s="125" t="s">
        <v>397</v>
      </c>
      <c r="Q29">
        <f>VLOOKUP(Q26,Carry,11)</f>
        <v>0.18013300000000002</v>
      </c>
      <c r="R29" s="125" t="s">
        <v>397</v>
      </c>
      <c r="S29">
        <f>VLOOKUP(S26,Carry,11)</f>
        <v>0.190433</v>
      </c>
      <c r="T29" s="125" t="s">
        <v>397</v>
      </c>
      <c r="U29">
        <f>VLOOKUP(U26,Carry,11)</f>
        <v>0.19123300000000001</v>
      </c>
      <c r="V29" s="125" t="s">
        <v>397</v>
      </c>
      <c r="W29">
        <f>VLOOKUP(W26,Carry,11)</f>
        <v>0.19123300000000001</v>
      </c>
      <c r="AC29" s="10" t="s">
        <v>449</v>
      </c>
    </row>
    <row r="30" spans="1:30" ht="25.5">
      <c r="A30" s="120" t="s">
        <v>1</v>
      </c>
      <c r="B30" s="94" t="s">
        <v>394</v>
      </c>
      <c r="C30" s="133"/>
      <c r="D30" s="94" t="s">
        <v>362</v>
      </c>
      <c r="E30" s="94" t="s">
        <v>363</v>
      </c>
      <c r="G30" s="2" t="s">
        <v>1</v>
      </c>
      <c r="H30" s="94" t="s">
        <v>362</v>
      </c>
      <c r="I30" s="94" t="s">
        <v>363</v>
      </c>
      <c r="J30" s="94" t="s">
        <v>362</v>
      </c>
      <c r="K30" s="94" t="s">
        <v>363</v>
      </c>
      <c r="L30" s="94" t="s">
        <v>362</v>
      </c>
      <c r="M30" s="94" t="s">
        <v>363</v>
      </c>
      <c r="N30" s="94" t="s">
        <v>362</v>
      </c>
      <c r="O30" s="94" t="s">
        <v>363</v>
      </c>
      <c r="P30" s="94" t="s">
        <v>362</v>
      </c>
      <c r="Q30" s="94" t="s">
        <v>363</v>
      </c>
      <c r="R30" s="94" t="s">
        <v>362</v>
      </c>
      <c r="S30" s="94" t="s">
        <v>363</v>
      </c>
      <c r="T30" s="94" t="s">
        <v>362</v>
      </c>
      <c r="U30" s="94" t="s">
        <v>363</v>
      </c>
      <c r="V30" s="94" t="s">
        <v>362</v>
      </c>
      <c r="W30" s="94" t="s">
        <v>363</v>
      </c>
      <c r="AC30" s="120" t="s">
        <v>1</v>
      </c>
      <c r="AD30" s="94" t="s">
        <v>448</v>
      </c>
    </row>
    <row r="31" spans="1:30" ht="12.75">
      <c r="A31" s="5" t="s">
        <v>5</v>
      </c>
      <c r="B31" s="5"/>
      <c r="C31" s="134"/>
      <c r="D31" s="130"/>
      <c r="E31" s="127"/>
      <c r="G31" s="5" t="s">
        <v>5</v>
      </c>
      <c r="H31" s="122"/>
      <c r="I31" s="123"/>
      <c r="J31" s="122"/>
      <c r="K31" s="123"/>
      <c r="L31" s="122"/>
      <c r="M31" s="123"/>
      <c r="N31" s="122"/>
      <c r="O31" s="123"/>
      <c r="P31" s="122"/>
      <c r="Q31" s="123"/>
      <c r="R31" s="122"/>
      <c r="S31" s="123"/>
      <c r="T31" s="122"/>
      <c r="U31" s="123"/>
      <c r="V31" s="122"/>
      <c r="W31" s="123"/>
      <c r="AC31" s="5" t="s">
        <v>5</v>
      </c>
      <c r="AD31" s="177" t="s">
        <v>56</v>
      </c>
    </row>
    <row r="32" spans="1:30" ht="12.75">
      <c r="A32" s="5" t="s">
        <v>6</v>
      </c>
      <c r="B32" s="5"/>
      <c r="C32" s="134"/>
      <c r="D32" s="130"/>
      <c r="E32" s="127"/>
      <c r="G32" s="5" t="s">
        <v>6</v>
      </c>
      <c r="H32" s="122"/>
      <c r="I32" s="123"/>
      <c r="J32" s="122"/>
      <c r="K32" s="123"/>
      <c r="L32" s="122"/>
      <c r="M32" s="123"/>
      <c r="N32" s="122"/>
      <c r="O32" s="123"/>
      <c r="P32" s="122"/>
      <c r="Q32" s="123"/>
      <c r="R32" s="122"/>
      <c r="S32" s="123"/>
      <c r="T32" s="122"/>
      <c r="U32" s="123"/>
      <c r="V32" s="122"/>
      <c r="W32" s="123"/>
      <c r="AC32" s="5" t="s">
        <v>6</v>
      </c>
      <c r="AD32" s="177" t="s">
        <v>56</v>
      </c>
    </row>
    <row r="33" spans="1:30" ht="12.75">
      <c r="A33" s="5" t="s">
        <v>7</v>
      </c>
      <c r="B33" s="119">
        <v>0.26842691570660077</v>
      </c>
      <c r="C33" s="135"/>
      <c r="D33" s="130">
        <f>SUM(H33,J33,L33,N33,P33,R33,T33,V33)</f>
        <v>375396.58363577176</v>
      </c>
      <c r="E33" s="127">
        <f>SUM(I33,K33,M33,O33,Q33,S33,U33,W33)</f>
        <v>152226.64683873454</v>
      </c>
      <c r="G33" s="5" t="s">
        <v>7</v>
      </c>
      <c r="H33" s="130">
        <f>0.33*$I$28*$I$29*B33</f>
        <v>14795.930493702812</v>
      </c>
      <c r="I33" s="127">
        <f>0.67*$I$28*$I$29*'MW-mi Impacts'!D31</f>
        <v>0</v>
      </c>
      <c r="J33" s="130">
        <f>0.33*$K$28*$K$29*B33</f>
        <v>14795.930493702812</v>
      </c>
      <c r="K33" s="127">
        <f>0.67*$K$28*$K$29*'MW-mi Impacts'!G31</f>
        <v>0</v>
      </c>
      <c r="L33" s="130">
        <f>0.33*$M$28*$M$29*B33</f>
        <v>52125.51711675723</v>
      </c>
      <c r="M33" s="127">
        <f>0.67*$M$28*$M$29*'MW-mi Impacts'!J31</f>
        <v>0</v>
      </c>
      <c r="N33" s="130">
        <f>0.33*O$28*O$29*$B33</f>
        <v>75242.85128079906</v>
      </c>
      <c r="O33" s="127">
        <f>0.67*$O$28*$O$29*'MW-mi Impacts'!M31</f>
        <v>18201.899181559715</v>
      </c>
      <c r="P33" s="130">
        <f>0.33*Q$28*Q$29*$B33</f>
        <v>105746.25568986565</v>
      </c>
      <c r="Q33" s="127">
        <f>0.67*$Q$28*$Q$29*'MW-mi Impacts'!P31/(1-'MW-mi Impacts'!$P$30)</f>
        <v>96904.69618153939</v>
      </c>
      <c r="R33" s="130">
        <f>0.33*S$28*S$29*$B33</f>
        <v>30363.70164622053</v>
      </c>
      <c r="S33" s="127">
        <f>0.67*$S$28*$S$29*'MW-mi Impacts'!S31/(1-'MW-mi Impacts'!$S$30)</f>
        <v>19782.54026686697</v>
      </c>
      <c r="T33" s="130">
        <f aca="true" t="shared" si="9" ref="T33:T45">0.33*U$28*U$29*$B33</f>
        <v>39977.427308384315</v>
      </c>
      <c r="U33" s="127">
        <f>0.67*$U$28*$U$29*'MW-mi Impacts'!V31</f>
        <v>17337.511208768465</v>
      </c>
      <c r="V33" s="130">
        <f aca="true" t="shared" si="10" ref="V33:V45">0.33*W$28*W$29*$B33</f>
        <v>42348.96960633932</v>
      </c>
      <c r="W33" s="127">
        <f>0.67*$W$28*$W$29*'MW-mi Impacts'!Y31</f>
        <v>0</v>
      </c>
      <c r="AC33" s="5" t="s">
        <v>7</v>
      </c>
      <c r="AD33" s="130">
        <f>Q28*Q29</f>
        <v>1193781.9209250002</v>
      </c>
    </row>
    <row r="34" spans="1:30" ht="12.75">
      <c r="A34" s="5" t="s">
        <v>8</v>
      </c>
      <c r="B34" s="119">
        <v>0.023359037702306462</v>
      </c>
      <c r="C34" s="135"/>
      <c r="D34" s="130">
        <f aca="true" t="shared" si="11" ref="D34:D45">SUM(H34,J34,L34,N34,P34,R34,T34,V34)</f>
        <v>32667.74841629416</v>
      </c>
      <c r="E34" s="127">
        <f aca="true" t="shared" si="12" ref="E34:E45">SUM(I34,K34,M34,O34,Q34,S34,U34,W34)</f>
        <v>536306.1363255669</v>
      </c>
      <c r="G34" s="5" t="s">
        <v>8</v>
      </c>
      <c r="H34" s="130">
        <f aca="true" t="shared" si="13" ref="H34:H45">0.33*$I$28*$I$29*B34</f>
        <v>1287.570947694687</v>
      </c>
      <c r="I34" s="127">
        <f>0.67*$I$28*$I$29*'MW-mi Impacts'!D32</f>
        <v>0</v>
      </c>
      <c r="J34" s="130">
        <f aca="true" t="shared" si="14" ref="J34:J45">0.33*$K$28*$K$29*B34</f>
        <v>1287.570947694687</v>
      </c>
      <c r="K34" s="127">
        <f>0.67*$K$28*$K$29*'MW-mi Impacts'!G32</f>
        <v>0</v>
      </c>
      <c r="L34" s="130">
        <f aca="true" t="shared" si="15" ref="L34:L45">0.33*$M$28*$M$29*B34</f>
        <v>4536.064933642612</v>
      </c>
      <c r="M34" s="127">
        <f>0.67*$M$28*$M$29*'MW-mi Impacts'!J32</f>
        <v>0</v>
      </c>
      <c r="N34" s="130">
        <f aca="true" t="shared" si="16" ref="N34:N45">0.33*O$28*O$29*$B34</f>
        <v>6547.780781485926</v>
      </c>
      <c r="O34" s="127">
        <f>0.67*$O$28*$O$29*'MW-mi Impacts'!M32</f>
        <v>0</v>
      </c>
      <c r="P34" s="130">
        <f aca="true" t="shared" si="17" ref="P34:R45">0.33*Q$28*Q$29*$B34</f>
        <v>9202.246976742239</v>
      </c>
      <c r="Q34" s="127">
        <f>0.67*$Q$28*$Q$29*'MW-mi Impacts'!P32/(1-'MW-mi Impacts'!$P$30)</f>
        <v>364734.57639792864</v>
      </c>
      <c r="R34" s="130">
        <f t="shared" si="17"/>
        <v>2642.3089862974157</v>
      </c>
      <c r="S34" s="127">
        <f>0.67*$S$28*$S$29*'MW-mi Impacts'!S32/(1-'MW-mi Impacts'!$S$30)</f>
        <v>171571.5599276383</v>
      </c>
      <c r="T34" s="130">
        <f t="shared" si="9"/>
        <v>3478.9142857733236</v>
      </c>
      <c r="U34" s="127">
        <f>0.67*$U$28*$U$29*'MW-mi Impacts'!V32</f>
        <v>0</v>
      </c>
      <c r="V34" s="130">
        <f t="shared" si="10"/>
        <v>3685.2905569632667</v>
      </c>
      <c r="W34" s="127">
        <f>0.67*$W$28*$W$29*'MW-mi Impacts'!Y32</f>
        <v>0</v>
      </c>
      <c r="AC34" s="5" t="s">
        <v>8</v>
      </c>
      <c r="AD34" s="130">
        <f>S28*S29</f>
        <v>342779.39999999997</v>
      </c>
    </row>
    <row r="35" spans="1:30" ht="12.75">
      <c r="A35" s="5" t="s">
        <v>9</v>
      </c>
      <c r="B35" s="119">
        <v>0.1693140627525223</v>
      </c>
      <c r="C35" s="135"/>
      <c r="D35" s="130">
        <f t="shared" si="11"/>
        <v>236786.6894103219</v>
      </c>
      <c r="E35" s="127">
        <f t="shared" si="12"/>
        <v>726315.21971133</v>
      </c>
      <c r="G35" s="5" t="s">
        <v>9</v>
      </c>
      <c r="H35" s="130">
        <f t="shared" si="13"/>
        <v>9332.741828434879</v>
      </c>
      <c r="I35" s="127">
        <f>0.67*$I$28*$I$29*'MW-mi Impacts'!D33</f>
        <v>0</v>
      </c>
      <c r="J35" s="130">
        <f t="shared" si="14"/>
        <v>9332.741828434879</v>
      </c>
      <c r="K35" s="127">
        <f>0.67*$K$28*$K$29*'MW-mi Impacts'!G33</f>
        <v>0</v>
      </c>
      <c r="L35" s="130">
        <f t="shared" si="15"/>
        <v>32878.90505645475</v>
      </c>
      <c r="M35" s="127">
        <f>0.67*$M$28*$M$29*'MW-mi Impacts'!J33</f>
        <v>0</v>
      </c>
      <c r="N35" s="130">
        <f t="shared" si="16"/>
        <v>47460.489608131495</v>
      </c>
      <c r="O35" s="127">
        <f>0.67*$O$28*$O$29*'MW-mi Impacts'!M33</f>
        <v>506392.4574198485</v>
      </c>
      <c r="P35" s="130">
        <f t="shared" si="17"/>
        <v>66700.9421338663</v>
      </c>
      <c r="Q35" s="127">
        <f>0.67*$Q$28*$Q$29*'MW-mi Impacts'!P33/(1-'MW-mi Impacts'!$P$30)</f>
        <v>168545.20380384466</v>
      </c>
      <c r="R35" s="130">
        <f t="shared" si="17"/>
        <v>19152.33303781774</v>
      </c>
      <c r="S35" s="127">
        <f>0.67*$S$28*$S$29*'MW-mi Impacts'!S33/(1-'MW-mi Impacts'!$S$30)</f>
        <v>38308.09780549475</v>
      </c>
      <c r="T35" s="130">
        <f t="shared" si="9"/>
        <v>25216.326083240594</v>
      </c>
      <c r="U35" s="127">
        <f>0.67*$U$28*$U$29*'MW-mi Impacts'!V33</f>
        <v>13069.460682142038</v>
      </c>
      <c r="V35" s="130">
        <f t="shared" si="10"/>
        <v>26712.209833941306</v>
      </c>
      <c r="W35" s="127">
        <f>0.67*$W$28*$W$29*'MW-mi Impacts'!Y33</f>
        <v>0</v>
      </c>
      <c r="AC35" s="5" t="s">
        <v>9</v>
      </c>
      <c r="AD35" s="130">
        <f>O28*O29</f>
        <v>849425.3999999999</v>
      </c>
    </row>
    <row r="36" spans="1:30" ht="12.75">
      <c r="A36" s="5" t="s">
        <v>10</v>
      </c>
      <c r="B36" s="119">
        <v>0.037757139888717005</v>
      </c>
      <c r="C36" s="135"/>
      <c r="D36" s="130">
        <f t="shared" si="11"/>
        <v>52803.57703612262</v>
      </c>
      <c r="E36" s="127">
        <f t="shared" si="12"/>
        <v>19202.048433736232</v>
      </c>
      <c r="G36" s="5" t="s">
        <v>10</v>
      </c>
      <c r="H36" s="130">
        <f t="shared" si="13"/>
        <v>2081.2071545205818</v>
      </c>
      <c r="I36" s="127">
        <f>0.67*$I$28*$I$29*'MW-mi Impacts'!D34</f>
        <v>0</v>
      </c>
      <c r="J36" s="130">
        <f t="shared" si="14"/>
        <v>2081.2071545205818</v>
      </c>
      <c r="K36" s="127">
        <f>0.67*$K$28*$K$29*'MW-mi Impacts'!G34</f>
        <v>0</v>
      </c>
      <c r="L36" s="130">
        <f t="shared" si="15"/>
        <v>7332.016002822621</v>
      </c>
      <c r="M36" s="127">
        <f>0.67*$M$28*$M$29*'MW-mi Impacts'!J34</f>
        <v>0</v>
      </c>
      <c r="N36" s="130">
        <f t="shared" si="16"/>
        <v>10583.7183054337</v>
      </c>
      <c r="O36" s="127">
        <f>0.67*$O$28*$O$29*'MW-mi Impacts'!M34</f>
        <v>19202.048433736232</v>
      </c>
      <c r="P36" s="130">
        <f t="shared" si="17"/>
        <v>14874.351025045555</v>
      </c>
      <c r="Q36" s="127">
        <f>0.67*$Q$28*$Q$29*'MW-mi Impacts'!P34/(1-'MW-mi Impacts'!$P$30)</f>
        <v>0</v>
      </c>
      <c r="R36" s="130">
        <f t="shared" si="17"/>
        <v>4270.982019734259</v>
      </c>
      <c r="S36" s="127">
        <f>0.67*$S$28*$S$29*'MW-mi Impacts'!S34/(1-'MW-mi Impacts'!$S$30)</f>
        <v>0</v>
      </c>
      <c r="T36" s="130">
        <f t="shared" si="9"/>
        <v>5623.256189865628</v>
      </c>
      <c r="U36" s="127">
        <f>0.67*$U$28*$U$29*'MW-mi Impacts'!V34</f>
        <v>0</v>
      </c>
      <c r="V36" s="130">
        <f t="shared" si="10"/>
        <v>5956.839184179691</v>
      </c>
      <c r="W36" s="127">
        <f>0.67*$W$28*$W$29*'MW-mi Impacts'!Y34</f>
        <v>0</v>
      </c>
      <c r="AC36" s="5" t="s">
        <v>10</v>
      </c>
      <c r="AD36" s="130"/>
    </row>
    <row r="37" spans="1:30" ht="12.75">
      <c r="A37" s="5" t="s">
        <v>11</v>
      </c>
      <c r="B37" s="119">
        <v>0.13787142428370233</v>
      </c>
      <c r="C37" s="135"/>
      <c r="D37" s="130">
        <f t="shared" si="11"/>
        <v>192813.97888455904</v>
      </c>
      <c r="E37" s="127">
        <f t="shared" si="12"/>
        <v>292934.95818236005</v>
      </c>
      <c r="G37" s="5" t="s">
        <v>11</v>
      </c>
      <c r="H37" s="130">
        <f t="shared" si="13"/>
        <v>7599.595612085284</v>
      </c>
      <c r="I37" s="127">
        <f>0.67*$I$28*$I$29*'MW-mi Impacts'!D35</f>
        <v>111912.10999999999</v>
      </c>
      <c r="J37" s="130">
        <f t="shared" si="14"/>
        <v>7599.595612085284</v>
      </c>
      <c r="K37" s="127">
        <f>0.67*$K$28*$K$29*'MW-mi Impacts'!G35</f>
        <v>111912.10999999999</v>
      </c>
      <c r="L37" s="130">
        <f t="shared" si="15"/>
        <v>26773.094894354894</v>
      </c>
      <c r="M37" s="127">
        <f>0.67*$M$28*$M$29*'MW-mi Impacts'!J35</f>
        <v>0</v>
      </c>
      <c r="N37" s="130">
        <f t="shared" si="16"/>
        <v>38646.791607848674</v>
      </c>
      <c r="O37" s="127">
        <f>0.67*$O$28*$O$29*'MW-mi Impacts'!M35</f>
        <v>25318.612964855478</v>
      </c>
      <c r="P37" s="130">
        <f t="shared" si="17"/>
        <v>54314.176528281074</v>
      </c>
      <c r="Q37" s="127">
        <f>0.67*$Q$28*$Q$29*'MW-mi Impacts'!P35/(1-'MW-mi Impacts'!$P$30)</f>
        <v>20106.031786104755</v>
      </c>
      <c r="R37" s="130">
        <f t="shared" si="17"/>
        <v>15595.629750727261</v>
      </c>
      <c r="S37" s="127">
        <f>0.67*$S$28*$S$29*'MW-mi Impacts'!S35/(1-'MW-mi Impacts'!$S$30)</f>
        <v>0</v>
      </c>
      <c r="T37" s="130">
        <f t="shared" si="9"/>
        <v>20533.502863139238</v>
      </c>
      <c r="U37" s="127">
        <f>0.67*$U$28*$U$29*'MW-mi Impacts'!V35</f>
        <v>23686.093431399822</v>
      </c>
      <c r="V37" s="130">
        <f t="shared" si="10"/>
        <v>21751.59201603733</v>
      </c>
      <c r="W37" s="127">
        <f>0.67*$W$28*$W$29*'MW-mi Impacts'!Y35</f>
        <v>0</v>
      </c>
      <c r="AC37" s="5" t="s">
        <v>11</v>
      </c>
      <c r="AD37" s="130">
        <f>I28*I29+K28*K29</f>
        <v>334066</v>
      </c>
    </row>
    <row r="38" spans="1:30" ht="12.75">
      <c r="A38" s="5" t="s">
        <v>12</v>
      </c>
      <c r="B38" s="119">
        <v>0.008591531410892802</v>
      </c>
      <c r="C38" s="135"/>
      <c r="D38" s="130">
        <f t="shared" si="11"/>
        <v>12015.306033519608</v>
      </c>
      <c r="E38" s="127">
        <f t="shared" si="12"/>
        <v>0</v>
      </c>
      <c r="G38" s="5" t="s">
        <v>12</v>
      </c>
      <c r="H38" s="130">
        <f t="shared" si="13"/>
        <v>473.5728578313669</v>
      </c>
      <c r="I38" s="127">
        <f>0.67*$I$28*$I$29*'MW-mi Impacts'!D36</f>
        <v>0</v>
      </c>
      <c r="J38" s="130">
        <f t="shared" si="14"/>
        <v>473.5728578313669</v>
      </c>
      <c r="K38" s="127">
        <f>0.67*$K$28*$K$29*'MW-mi Impacts'!G36</f>
        <v>0</v>
      </c>
      <c r="L38" s="130">
        <f t="shared" si="15"/>
        <v>1668.379701934032</v>
      </c>
      <c r="M38" s="127">
        <f>0.67*$M$28*$M$29*'MW-mi Impacts'!J36</f>
        <v>0</v>
      </c>
      <c r="N38" s="130">
        <f t="shared" si="16"/>
        <v>2408.29545175236</v>
      </c>
      <c r="O38" s="127">
        <f>0.67*$O$28*$O$29*'MW-mi Impacts'!M36</f>
        <v>0</v>
      </c>
      <c r="P38" s="130">
        <f t="shared" si="17"/>
        <v>3384.616907556418</v>
      </c>
      <c r="Q38" s="127">
        <f>0.67*$Q$28*$Q$29*'MW-mi Impacts'!P36/(1-'MW-mi Impacts'!$P$30)</f>
        <v>0</v>
      </c>
      <c r="R38" s="130">
        <f t="shared" si="17"/>
        <v>971.849994095306</v>
      </c>
      <c r="S38" s="127">
        <f>0.67*$S$28*$S$29*'MW-mi Impacts'!S36/(1-'MW-mi Impacts'!$S$30)</f>
        <v>0</v>
      </c>
      <c r="T38" s="130">
        <f t="shared" si="9"/>
        <v>1279.5561933218662</v>
      </c>
      <c r="U38" s="127">
        <f>0.67*$U$28*$U$29*'MW-mi Impacts'!V36</f>
        <v>0</v>
      </c>
      <c r="V38" s="130">
        <f t="shared" si="10"/>
        <v>1355.4620691968921</v>
      </c>
      <c r="W38" s="127">
        <f>0.67*$W$28*$W$29*'MW-mi Impacts'!Y36</f>
        <v>0</v>
      </c>
      <c r="AC38" s="5" t="s">
        <v>12</v>
      </c>
      <c r="AD38" s="130"/>
    </row>
    <row r="39" spans="1:30" ht="12.75">
      <c r="A39" s="5" t="s">
        <v>13</v>
      </c>
      <c r="B39" s="119">
        <v>0.011644887216309189</v>
      </c>
      <c r="C39" s="135"/>
      <c r="D39" s="130">
        <f t="shared" si="11"/>
        <v>16285.441667870882</v>
      </c>
      <c r="E39" s="127">
        <f t="shared" si="12"/>
        <v>0</v>
      </c>
      <c r="G39" s="5" t="s">
        <v>13</v>
      </c>
      <c r="H39" s="130">
        <f t="shared" si="13"/>
        <v>641.8765473125849</v>
      </c>
      <c r="I39" s="127">
        <f>0.67*$I$28*$I$29*'MW-mi Impacts'!D37</f>
        <v>0</v>
      </c>
      <c r="J39" s="130">
        <f t="shared" si="14"/>
        <v>641.8765473125849</v>
      </c>
      <c r="K39" s="127">
        <f>0.67*$K$28*$K$29*'MW-mi Impacts'!G37</f>
        <v>0</v>
      </c>
      <c r="L39" s="130">
        <f t="shared" si="15"/>
        <v>2261.3073890842525</v>
      </c>
      <c r="M39" s="127">
        <f>0.67*$M$28*$M$29*'MW-mi Impacts'!J37</f>
        <v>0</v>
      </c>
      <c r="N39" s="130">
        <f t="shared" si="16"/>
        <v>3264.1827839505454</v>
      </c>
      <c r="O39" s="127">
        <f>0.67*$O$28*$O$29*'MW-mi Impacts'!M37</f>
        <v>0</v>
      </c>
      <c r="P39" s="130">
        <f t="shared" si="17"/>
        <v>4587.480423913385</v>
      </c>
      <c r="Q39" s="127">
        <f>0.67*$Q$28*$Q$29*'MW-mi Impacts'!P37/(1-'MW-mi Impacts'!$P$30)</f>
        <v>0</v>
      </c>
      <c r="R39" s="130">
        <f t="shared" si="17"/>
        <v>1317.2370595144641</v>
      </c>
      <c r="S39" s="127">
        <f>0.67*$S$28*$S$29*'MW-mi Impacts'!S37/(1-'MW-mi Impacts'!$S$30)</f>
        <v>0</v>
      </c>
      <c r="T39" s="130">
        <f t="shared" si="9"/>
        <v>1734.2993752279913</v>
      </c>
      <c r="U39" s="127">
        <f>0.67*$U$28*$U$29*'MW-mi Impacts'!V37</f>
        <v>0</v>
      </c>
      <c r="V39" s="130">
        <f t="shared" si="10"/>
        <v>1837.1815415550755</v>
      </c>
      <c r="W39" s="127">
        <f>0.67*$W$28*$W$29*'MW-mi Impacts'!Y37</f>
        <v>0</v>
      </c>
      <c r="AC39" s="5" t="s">
        <v>13</v>
      </c>
      <c r="AD39" s="130"/>
    </row>
    <row r="40" spans="1:30" ht="12.75">
      <c r="A40" s="5" t="s">
        <v>14</v>
      </c>
      <c r="B40" s="119">
        <v>0.1379637753099531</v>
      </c>
      <c r="C40" s="135"/>
      <c r="D40" s="130">
        <f t="shared" si="11"/>
        <v>192943.13232529553</v>
      </c>
      <c r="E40" s="127">
        <f t="shared" si="12"/>
        <v>484460.0024272783</v>
      </c>
      <c r="G40" s="5" t="s">
        <v>14</v>
      </c>
      <c r="H40" s="130">
        <f t="shared" si="13"/>
        <v>7604.68608284464</v>
      </c>
      <c r="I40" s="127">
        <f>0.67*$I$28*$I$29*'MW-mi Impacts'!D38</f>
        <v>0</v>
      </c>
      <c r="J40" s="130">
        <f t="shared" si="14"/>
        <v>7604.68608284464</v>
      </c>
      <c r="K40" s="127">
        <f>0.67*$K$28*$K$29*'MW-mi Impacts'!G38</f>
        <v>0</v>
      </c>
      <c r="L40" s="130">
        <f t="shared" si="15"/>
        <v>26791.028434987034</v>
      </c>
      <c r="M40" s="127">
        <f>0.67*$M$28*$M$29*'MW-mi Impacts'!J38</f>
        <v>0</v>
      </c>
      <c r="N40" s="130">
        <f t="shared" si="16"/>
        <v>38672.67855929512</v>
      </c>
      <c r="O40" s="127">
        <f>0.67*$O$28*$O$29*'MW-mi Impacts'!M38</f>
        <v>0</v>
      </c>
      <c r="P40" s="130">
        <f t="shared" si="17"/>
        <v>54350.5580335017</v>
      </c>
      <c r="Q40" s="127">
        <f>0.67*$Q$28*$Q$29*'MW-mi Impacts'!P38/(1-'MW-mi Impacts'!$P$30)</f>
        <v>39257.594249904396</v>
      </c>
      <c r="R40" s="130">
        <f t="shared" si="17"/>
        <v>15606.076240418577</v>
      </c>
      <c r="S40" s="127">
        <f>0.67*$S$28*$S$29*'MW-mi Impacts'!S38/(1-'MW-mi Impacts'!$S$30)</f>
        <v>0</v>
      </c>
      <c r="T40" s="130">
        <f t="shared" si="9"/>
        <v>20547.256910229025</v>
      </c>
      <c r="U40" s="127">
        <f>0.67*$U$28*$U$29*'MW-mi Impacts'!V38</f>
        <v>167915.638834944</v>
      </c>
      <c r="V40" s="130">
        <f t="shared" si="10"/>
        <v>21766.161981174817</v>
      </c>
      <c r="W40" s="127">
        <f>0.67*$W$28*$W$29*'MW-mi Impacts'!Y38</f>
        <v>277286.76934242994</v>
      </c>
      <c r="AC40" s="5" t="s">
        <v>14</v>
      </c>
      <c r="AD40" s="130">
        <f>U28*U29+W28*W29</f>
        <v>929392.3800000001</v>
      </c>
    </row>
    <row r="41" spans="1:30" ht="12.75">
      <c r="A41" s="5" t="s">
        <v>15</v>
      </c>
      <c r="B41" s="119">
        <v>0.014499111121372334</v>
      </c>
      <c r="C41" s="135"/>
      <c r="D41" s="130">
        <f t="shared" si="11"/>
        <v>20277.09019563403</v>
      </c>
      <c r="E41" s="127">
        <f t="shared" si="12"/>
        <v>65045.19155058819</v>
      </c>
      <c r="G41" s="5" t="s">
        <v>15</v>
      </c>
      <c r="H41" s="130">
        <f t="shared" si="13"/>
        <v>799.203909218941</v>
      </c>
      <c r="I41" s="127">
        <f>0.67*$I$28*$I$29*'MW-mi Impacts'!D39</f>
        <v>0</v>
      </c>
      <c r="J41" s="130">
        <f t="shared" si="14"/>
        <v>799.203909218941</v>
      </c>
      <c r="K41" s="127">
        <f>0.67*$K$28*$K$29*'MW-mi Impacts'!G39</f>
        <v>0</v>
      </c>
      <c r="L41" s="130">
        <f t="shared" si="15"/>
        <v>2815.565879246415</v>
      </c>
      <c r="M41" s="127">
        <f>0.67*$M$28*$M$29*'MW-mi Impacts'!J39</f>
        <v>0</v>
      </c>
      <c r="N41" s="130">
        <f t="shared" si="16"/>
        <v>4064.251377092327</v>
      </c>
      <c r="O41" s="127">
        <f>0.67*$O$28*$O$29*'MW-mi Impacts'!M39</f>
        <v>0</v>
      </c>
      <c r="P41" s="130">
        <f t="shared" si="17"/>
        <v>5711.896319638376</v>
      </c>
      <c r="Q41" s="127">
        <f>0.67*$Q$28*$Q$29*'MW-mi Impacts'!P39/(1-'MW-mi Impacts'!$P$30)</f>
        <v>0</v>
      </c>
      <c r="R41" s="130">
        <f t="shared" si="17"/>
        <v>1640.0988815367207</v>
      </c>
      <c r="S41" s="127">
        <f>0.67*$S$28*$S$29*'MW-mi Impacts'!S39/(1-'MW-mi Impacts'!$S$30)</f>
        <v>0</v>
      </c>
      <c r="T41" s="130">
        <f t="shared" si="9"/>
        <v>2159.3853930967607</v>
      </c>
      <c r="U41" s="127">
        <f>0.67*$U$28*$U$29*'MW-mi Impacts'!V39</f>
        <v>65045.19155058819</v>
      </c>
      <c r="V41" s="130">
        <f t="shared" si="10"/>
        <v>2287.4845265855515</v>
      </c>
      <c r="W41" s="127">
        <f>0.67*$W$28*$W$29*'MW-mi Impacts'!Y39</f>
        <v>0</v>
      </c>
      <c r="AC41" s="5" t="s">
        <v>15</v>
      </c>
      <c r="AD41" s="130"/>
    </row>
    <row r="42" spans="1:30" ht="12.75">
      <c r="A42" s="5" t="s">
        <v>16</v>
      </c>
      <c r="B42" s="119">
        <v>0.0483371043335719</v>
      </c>
      <c r="C42" s="135"/>
      <c r="D42" s="130">
        <f t="shared" si="11"/>
        <v>67599.71809050048</v>
      </c>
      <c r="E42" s="127">
        <f t="shared" si="12"/>
        <v>0</v>
      </c>
      <c r="G42" s="5" t="s">
        <v>16</v>
      </c>
      <c r="H42" s="130">
        <f t="shared" si="13"/>
        <v>2664.3842108893396</v>
      </c>
      <c r="I42" s="127">
        <f>0.67*$I$28*$I$29*'MW-mi Impacts'!D40</f>
        <v>0</v>
      </c>
      <c r="J42" s="130">
        <f t="shared" si="14"/>
        <v>2664.3842108893396</v>
      </c>
      <c r="K42" s="127">
        <f>0.67*$K$28*$K$29*'MW-mi Impacts'!G40</f>
        <v>0</v>
      </c>
      <c r="L42" s="130">
        <f t="shared" si="15"/>
        <v>9386.527251492476</v>
      </c>
      <c r="M42" s="127">
        <f>0.67*$M$28*$M$29*'MW-mi Impacts'!J40</f>
        <v>0</v>
      </c>
      <c r="N42" s="130">
        <f t="shared" si="16"/>
        <v>13549.392180517394</v>
      </c>
      <c r="O42" s="127">
        <f>0.67*$O$28*$O$29*'MW-mi Impacts'!M40</f>
        <v>0</v>
      </c>
      <c r="P42" s="130">
        <f t="shared" si="17"/>
        <v>19042.30721688359</v>
      </c>
      <c r="Q42" s="127">
        <f>0.67*$Q$28*$Q$29*'MW-mi Impacts'!P40/(1-'MW-mi Impacts'!$P$30)</f>
        <v>0</v>
      </c>
      <c r="R42" s="130">
        <f t="shared" si="17"/>
        <v>5467.757994995727</v>
      </c>
      <c r="S42" s="127">
        <f>0.67*$S$28*$S$29*'MW-mi Impacts'!S40/(1-'MW-mi Impacts'!$S$30)</f>
        <v>0</v>
      </c>
      <c r="T42" s="130">
        <f t="shared" si="9"/>
        <v>7198.9542095894985</v>
      </c>
      <c r="U42" s="127">
        <f>0.67*$U$28*$U$29*'MW-mi Impacts'!V40</f>
        <v>0</v>
      </c>
      <c r="V42" s="130">
        <f t="shared" si="10"/>
        <v>7626.010815243113</v>
      </c>
      <c r="W42" s="127">
        <f>0.67*$W$28*$W$29*'MW-mi Impacts'!Y40</f>
        <v>0</v>
      </c>
      <c r="AC42" s="5" t="s">
        <v>16</v>
      </c>
      <c r="AD42" s="130"/>
    </row>
    <row r="43" spans="1:30" ht="12.75">
      <c r="A43" s="5" t="s">
        <v>17</v>
      </c>
      <c r="B43" s="119">
        <v>0.09225867522452841</v>
      </c>
      <c r="C43" s="135"/>
      <c r="D43" s="130">
        <f t="shared" si="11"/>
        <v>129024.28729578598</v>
      </c>
      <c r="E43" s="127">
        <f t="shared" si="12"/>
        <v>58352.22954972768</v>
      </c>
      <c r="G43" s="5" t="s">
        <v>17</v>
      </c>
      <c r="H43" s="130">
        <f t="shared" si="13"/>
        <v>5085.380288596955</v>
      </c>
      <c r="I43" s="127">
        <f>0.67*$I$28*$I$29*'MW-mi Impacts'!D41</f>
        <v>0</v>
      </c>
      <c r="J43" s="130">
        <f t="shared" si="14"/>
        <v>5085.380288596955</v>
      </c>
      <c r="K43" s="127">
        <f>0.67*$K$28*$K$29*'MW-mi Impacts'!G41</f>
        <v>0</v>
      </c>
      <c r="L43" s="130">
        <f t="shared" si="15"/>
        <v>17915.607091510625</v>
      </c>
      <c r="M43" s="127">
        <f>0.67*$M$28*$M$29*'MW-mi Impacts'!J41</f>
        <v>0</v>
      </c>
      <c r="N43" s="130">
        <f t="shared" si="16"/>
        <v>25861.064495001494</v>
      </c>
      <c r="O43" s="127">
        <f>0.67*$O$28*$O$29*'MW-mi Impacts'!M41</f>
        <v>0</v>
      </c>
      <c r="P43" s="130">
        <f t="shared" si="17"/>
        <v>36345.12371540597</v>
      </c>
      <c r="Q43" s="127">
        <f>0.67*$Q$28*$Q$29*'MW-mi Impacts'!P41/(1-'MW-mi Impacts'!$P$30)</f>
        <v>0</v>
      </c>
      <c r="R43" s="130">
        <f t="shared" si="17"/>
        <v>10436.043201625374</v>
      </c>
      <c r="S43" s="127">
        <f>0.67*$S$28*$S$29*'MW-mi Impacts'!S41/(1-'MW-mi Impacts'!$S$30)</f>
        <v>0</v>
      </c>
      <c r="T43" s="130">
        <f t="shared" si="9"/>
        <v>13740.293042698493</v>
      </c>
      <c r="U43" s="127">
        <f>0.67*$U$28*$U$29*'MW-mi Impacts'!V41</f>
        <v>15323.723892157554</v>
      </c>
      <c r="V43" s="130">
        <f t="shared" si="10"/>
        <v>14555.3951723501</v>
      </c>
      <c r="W43" s="127">
        <f>0.67*$W$28*$W$29*'MW-mi Impacts'!Y41</f>
        <v>43028.505657570124</v>
      </c>
      <c r="AC43" s="5" t="s">
        <v>17</v>
      </c>
      <c r="AD43" s="130"/>
    </row>
    <row r="44" spans="1:30" ht="12.75">
      <c r="A44" s="5" t="s">
        <v>18</v>
      </c>
      <c r="B44" s="119">
        <v>0.031468612194953005</v>
      </c>
      <c r="C44" s="135"/>
      <c r="D44" s="130">
        <f t="shared" si="11"/>
        <v>44009.03493097003</v>
      </c>
      <c r="E44" s="127">
        <f t="shared" si="12"/>
        <v>478980.651089294</v>
      </c>
      <c r="G44" s="5" t="s">
        <v>18</v>
      </c>
      <c r="H44" s="130">
        <f t="shared" si="13"/>
        <v>1734.577911250663</v>
      </c>
      <c r="I44" s="127">
        <f>0.67*$I$28*$I$29*'MW-mi Impacts'!D42</f>
        <v>0</v>
      </c>
      <c r="J44" s="130">
        <f t="shared" si="14"/>
        <v>1734.577911250663</v>
      </c>
      <c r="K44" s="127">
        <f>0.67*$K$28*$K$29*'MW-mi Impacts'!G42</f>
        <v>0</v>
      </c>
      <c r="L44" s="130">
        <f t="shared" si="15"/>
        <v>6110.853970402648</v>
      </c>
      <c r="M44" s="127">
        <f>0.67*$M$28*$M$29*'MW-mi Impacts'!J42</f>
        <v>394262.23365</v>
      </c>
      <c r="N44" s="130">
        <f t="shared" si="16"/>
        <v>8820.978705377134</v>
      </c>
      <c r="O44" s="127">
        <f>0.67*$O$28*$O$29*'MW-mi Impacts'!M42</f>
        <v>0</v>
      </c>
      <c r="P44" s="130">
        <f t="shared" si="17"/>
        <v>12396.99790392851</v>
      </c>
      <c r="Q44" s="127">
        <f>0.67*$Q$28*$Q$29*'MW-mi Impacts'!P42/(1-'MW-mi Impacts'!$P$30)</f>
        <v>84718.41743929402</v>
      </c>
      <c r="R44" s="130">
        <f t="shared" si="17"/>
        <v>3559.641362316162</v>
      </c>
      <c r="S44" s="127">
        <f>0.67*$S$28*$S$29*'MW-mi Impacts'!S42/(1-'MW-mi Impacts'!$S$30)</f>
        <v>0</v>
      </c>
      <c r="T44" s="130">
        <f t="shared" si="9"/>
        <v>4686.691545845357</v>
      </c>
      <c r="U44" s="127">
        <f>0.67*$U$28*$U$29*'MW-mi Impacts'!V42</f>
        <v>0</v>
      </c>
      <c r="V44" s="130">
        <f t="shared" si="10"/>
        <v>4964.715620598895</v>
      </c>
      <c r="W44" s="127">
        <f>0.67*$W$28*$W$29*'MW-mi Impacts'!Y42</f>
        <v>0</v>
      </c>
      <c r="AC44" s="5" t="s">
        <v>18</v>
      </c>
      <c r="AD44" s="130">
        <f>M28*M29</f>
        <v>588451.095</v>
      </c>
    </row>
    <row r="45" spans="1:30" ht="12.75">
      <c r="A45" s="5" t="s">
        <v>19</v>
      </c>
      <c r="B45" s="119">
        <v>0.018507722854570217</v>
      </c>
      <c r="C45" s="135"/>
      <c r="D45" s="130">
        <f t="shared" si="11"/>
        <v>25883.15673260371</v>
      </c>
      <c r="E45" s="127">
        <f t="shared" si="12"/>
        <v>25567.367161134247</v>
      </c>
      <c r="G45" s="5" t="s">
        <v>19</v>
      </c>
      <c r="H45" s="130">
        <f t="shared" si="13"/>
        <v>1020.1621556172508</v>
      </c>
      <c r="I45" s="127">
        <f>0.67*$I$28*$I$29*'MW-mi Impacts'!D43</f>
        <v>0</v>
      </c>
      <c r="J45" s="130">
        <f t="shared" si="14"/>
        <v>1020.1621556172508</v>
      </c>
      <c r="K45" s="127">
        <f>0.67*$K$28*$K$29*'MW-mi Impacts'!G43</f>
        <v>0</v>
      </c>
      <c r="L45" s="130">
        <f t="shared" si="15"/>
        <v>3593.993627310362</v>
      </c>
      <c r="M45" s="127">
        <f>0.67*$M$28*$M$29*'MW-mi Impacts'!J43</f>
        <v>0</v>
      </c>
      <c r="N45" s="130">
        <f t="shared" si="16"/>
        <v>5187.906863314708</v>
      </c>
      <c r="O45" s="127">
        <f>0.67*$O$28*$O$29*'MW-mi Impacts'!M43</f>
        <v>0</v>
      </c>
      <c r="P45" s="130">
        <f t="shared" si="17"/>
        <v>7291.081030621199</v>
      </c>
      <c r="Q45" s="127">
        <f>0.67*$Q$28*$Q$29*'MW-mi Impacts'!P43/(1-'MW-mi Impacts'!$P$30)</f>
        <v>25567.367161134247</v>
      </c>
      <c r="R45" s="130">
        <f t="shared" si="17"/>
        <v>2093.541824700436</v>
      </c>
      <c r="S45" s="127">
        <f>0.67*$S$28*$S$29*'MW-mi Impacts'!S43/(1-'MW-mi Impacts'!$S$30)</f>
        <v>0</v>
      </c>
      <c r="T45" s="130">
        <f t="shared" si="9"/>
        <v>2756.396999587883</v>
      </c>
      <c r="U45" s="127">
        <f>0.67*$U$28*$U$29*'MW-mi Impacts'!V43</f>
        <v>0</v>
      </c>
      <c r="V45" s="130">
        <f t="shared" si="10"/>
        <v>2919.912075834622</v>
      </c>
      <c r="W45" s="127">
        <f>0.67*$W$28*$W$29*'MW-mi Impacts'!Y43</f>
        <v>0</v>
      </c>
      <c r="AC45" s="5" t="s">
        <v>19</v>
      </c>
      <c r="AD45" s="130"/>
    </row>
    <row r="46" spans="1:30" ht="12.75">
      <c r="A46" s="2" t="s">
        <v>20</v>
      </c>
      <c r="B46" s="119">
        <v>1</v>
      </c>
      <c r="C46" s="135"/>
      <c r="D46" s="130">
        <f>SUM(D31:D45)</f>
        <v>1398505.7446552494</v>
      </c>
      <c r="E46" s="127">
        <f>SUM(E31:E45)</f>
        <v>2839390.45126975</v>
      </c>
      <c r="G46" s="2" t="s">
        <v>20</v>
      </c>
      <c r="H46" s="130">
        <f aca="true" t="shared" si="18" ref="H46:U46">SUM(H33:H45)</f>
        <v>55120.889999999985</v>
      </c>
      <c r="I46" s="127">
        <f t="shared" si="18"/>
        <v>111912.10999999999</v>
      </c>
      <c r="J46" s="130">
        <f t="shared" si="18"/>
        <v>55120.889999999985</v>
      </c>
      <c r="K46" s="127">
        <f t="shared" si="18"/>
        <v>111912.10999999999</v>
      </c>
      <c r="L46" s="130">
        <f t="shared" si="18"/>
        <v>194188.86134999996</v>
      </c>
      <c r="M46" s="127">
        <f t="shared" si="18"/>
        <v>394262.23365</v>
      </c>
      <c r="N46" s="130">
        <f t="shared" si="18"/>
        <v>280310.3819999999</v>
      </c>
      <c r="O46" s="127">
        <f t="shared" si="18"/>
        <v>569115.0179999999</v>
      </c>
      <c r="P46" s="130">
        <f t="shared" si="18"/>
        <v>393948.03390524996</v>
      </c>
      <c r="Q46" s="127">
        <f t="shared" si="18"/>
        <v>799833.8870197502</v>
      </c>
      <c r="R46" s="130">
        <f t="shared" si="18"/>
        <v>113117.20199999998</v>
      </c>
      <c r="S46" s="127">
        <f t="shared" si="18"/>
        <v>229662.19800000003</v>
      </c>
      <c r="T46" s="130">
        <f t="shared" si="18"/>
        <v>148932.26039999997</v>
      </c>
      <c r="U46" s="127">
        <f t="shared" si="18"/>
        <v>302377.61960000003</v>
      </c>
      <c r="V46" s="130">
        <f>SUM(V33:V45)</f>
        <v>157767.225</v>
      </c>
      <c r="W46" s="127">
        <f>SUM(W33:W45)</f>
        <v>320315.2750000001</v>
      </c>
      <c r="AC46" s="2" t="s">
        <v>20</v>
      </c>
      <c r="AD46" s="130">
        <f>SUM(AD31:AD45)</f>
        <v>4237896.195925</v>
      </c>
    </row>
    <row r="47" spans="4:30" ht="12.75">
      <c r="D47" s="136">
        <f>SUM(H47,J47,L47,N47,P47,R47,T47,V47)</f>
        <v>1398505.74465525</v>
      </c>
      <c r="E47" s="136">
        <f>SUM(I47,K47,M47,O47,Q47,S47,U47,W47)</f>
        <v>2839390.45126975</v>
      </c>
      <c r="H47" s="131">
        <f>I28*I29*0.33</f>
        <v>55120.89</v>
      </c>
      <c r="I47" s="131">
        <f>I28*I29*0.67</f>
        <v>111912.11</v>
      </c>
      <c r="J47" s="131">
        <f>K28*K29*0.33</f>
        <v>55120.89</v>
      </c>
      <c r="K47" s="131">
        <f>K28*K29*0.67</f>
        <v>111912.11</v>
      </c>
      <c r="L47" s="131">
        <f>M28*M29*0.33</f>
        <v>194188.86135</v>
      </c>
      <c r="M47" s="131">
        <f>M28*M29*0.67</f>
        <v>394262.23365</v>
      </c>
      <c r="N47" s="131">
        <f>O28*O29*0.33</f>
        <v>280310.382</v>
      </c>
      <c r="O47" s="131">
        <f>O28*O29*0.67</f>
        <v>569115.0179999999</v>
      </c>
      <c r="P47" s="131">
        <f>Q28*Q29*0.33</f>
        <v>393948.0339052501</v>
      </c>
      <c r="Q47" s="131">
        <f>Q28*Q29*0.67</f>
        <v>799833.8870197502</v>
      </c>
      <c r="R47" s="131">
        <f>S28*S29*0.33</f>
        <v>113117.20199999999</v>
      </c>
      <c r="S47" s="131">
        <f>S28*S29*0.67</f>
        <v>229662.198</v>
      </c>
      <c r="T47" s="131">
        <f>U28*U29*0.33</f>
        <v>148932.2604</v>
      </c>
      <c r="U47" s="131">
        <f>U28*U29*0.67</f>
        <v>302377.61960000003</v>
      </c>
      <c r="V47" s="131">
        <f>W28*W29*0.33</f>
        <v>157767.22500000003</v>
      </c>
      <c r="W47" s="131">
        <f>W28*W29*0.67</f>
        <v>320315.2750000001</v>
      </c>
      <c r="AD47" s="136">
        <f>SUM(D47:E47)</f>
        <v>4237896.195925</v>
      </c>
    </row>
    <row r="48" ht="20.25">
      <c r="A48" s="15">
        <v>2008</v>
      </c>
    </row>
    <row r="49" spans="1:17" ht="20.25">
      <c r="A49" s="15"/>
      <c r="H49" s="10" t="s">
        <v>398</v>
      </c>
      <c r="I49" t="s">
        <v>9</v>
      </c>
      <c r="J49" s="10" t="s">
        <v>398</v>
      </c>
      <c r="K49" t="s">
        <v>142</v>
      </c>
      <c r="L49" s="10" t="s">
        <v>398</v>
      </c>
      <c r="M49" t="s">
        <v>10</v>
      </c>
      <c r="N49" s="10" t="s">
        <v>398</v>
      </c>
      <c r="O49" t="s">
        <v>18</v>
      </c>
      <c r="P49" s="10" t="s">
        <v>398</v>
      </c>
      <c r="Q49" t="s">
        <v>57</v>
      </c>
    </row>
    <row r="50" spans="8:17" ht="25.5">
      <c r="H50" s="128" t="s">
        <v>395</v>
      </c>
      <c r="I50" s="129" t="s">
        <v>33</v>
      </c>
      <c r="J50" s="128" t="s">
        <v>395</v>
      </c>
      <c r="K50" s="129" t="str">
        <f>'MW-mi Impacts'!E48</f>
        <v>Hutchinson 115 kV Voltage Conv</v>
      </c>
      <c r="L50" s="128" t="s">
        <v>395</v>
      </c>
      <c r="M50" s="129" t="str">
        <f>'MW-mi Impacts'!H48</f>
        <v>Sayre - Moorewood - Voltage Conv</v>
      </c>
      <c r="N50" s="128" t="s">
        <v>395</v>
      </c>
      <c r="O50" s="129" t="str">
        <f>'MW-mi Impacts'!K48</f>
        <v>Riverdale - Ozarks</v>
      </c>
      <c r="P50" s="128" t="s">
        <v>395</v>
      </c>
      <c r="Q50" s="129" t="str">
        <f>'MW-mi Impacts'!N48</f>
        <v>Fayetteville 69 kV Conv</v>
      </c>
    </row>
    <row r="51" spans="8:17" ht="12.75">
      <c r="H51" s="124" t="s">
        <v>396</v>
      </c>
      <c r="I51" s="126">
        <f>'2007 Q1 Project List'!F22</f>
        <v>1900000</v>
      </c>
      <c r="J51" s="124" t="s">
        <v>396</v>
      </c>
      <c r="K51" s="126">
        <f>'2007 Q1 Project List'!F44</f>
        <v>1900000</v>
      </c>
      <c r="L51" s="124" t="s">
        <v>396</v>
      </c>
      <c r="M51" s="126">
        <f>'2007 Q1 Project List'!F56</f>
        <v>12000000</v>
      </c>
      <c r="N51" s="124" t="s">
        <v>396</v>
      </c>
      <c r="O51" s="126">
        <f>'2007 Q1 Project List'!F14</f>
        <v>14057000</v>
      </c>
      <c r="P51" s="124" t="s">
        <v>396</v>
      </c>
      <c r="Q51" s="126">
        <f>'2007 Q1 Project List'!F13</f>
        <v>21000000</v>
      </c>
    </row>
    <row r="52" spans="4:29" ht="12.75">
      <c r="D52" s="98" t="s">
        <v>400</v>
      </c>
      <c r="H52" s="125" t="s">
        <v>397</v>
      </c>
      <c r="I52">
        <f>VLOOKUP(I49,Carry,11)</f>
        <v>0.22353299999999998</v>
      </c>
      <c r="J52" s="125" t="s">
        <v>397</v>
      </c>
      <c r="K52">
        <f>VLOOKUP(K49,Carry,11)</f>
        <v>0.19123300000000001</v>
      </c>
      <c r="L52" s="125" t="s">
        <v>397</v>
      </c>
      <c r="M52">
        <f>VLOOKUP(M49,Carry,11)</f>
        <v>0.182433</v>
      </c>
      <c r="N52" s="125" t="s">
        <v>397</v>
      </c>
      <c r="O52">
        <f>VLOOKUP(O49,Carry,11)</f>
        <v>0.183033</v>
      </c>
      <c r="P52" s="125" t="s">
        <v>397</v>
      </c>
      <c r="Q52">
        <f>VLOOKUP(Q49,Carry,11)</f>
        <v>0.18013300000000002</v>
      </c>
      <c r="AC52" s="10" t="s">
        <v>449</v>
      </c>
    </row>
    <row r="53" spans="1:30" ht="25.5">
      <c r="A53" s="120" t="s">
        <v>1</v>
      </c>
      <c r="B53" s="94" t="s">
        <v>394</v>
      </c>
      <c r="C53" s="133"/>
      <c r="D53" s="94" t="s">
        <v>362</v>
      </c>
      <c r="E53" s="94" t="s">
        <v>363</v>
      </c>
      <c r="G53" s="2" t="s">
        <v>1</v>
      </c>
      <c r="H53" s="94" t="s">
        <v>362</v>
      </c>
      <c r="I53" s="94" t="s">
        <v>363</v>
      </c>
      <c r="J53" s="94" t="s">
        <v>362</v>
      </c>
      <c r="K53" s="94" t="s">
        <v>363</v>
      </c>
      <c r="L53" s="94" t="s">
        <v>362</v>
      </c>
      <c r="M53" s="94" t="s">
        <v>363</v>
      </c>
      <c r="N53" s="94" t="s">
        <v>362</v>
      </c>
      <c r="O53" s="94" t="s">
        <v>363</v>
      </c>
      <c r="P53" s="94" t="s">
        <v>362</v>
      </c>
      <c r="Q53" s="94" t="s">
        <v>363</v>
      </c>
      <c r="AC53" s="120" t="s">
        <v>1</v>
      </c>
      <c r="AD53" s="94" t="s">
        <v>448</v>
      </c>
    </row>
    <row r="54" spans="1:30" ht="12.75">
      <c r="A54" s="5" t="s">
        <v>5</v>
      </c>
      <c r="B54" s="5"/>
      <c r="C54" s="134"/>
      <c r="D54" s="122"/>
      <c r="E54" s="123"/>
      <c r="G54" s="5" t="s">
        <v>5</v>
      </c>
      <c r="H54" s="130"/>
      <c r="I54" s="127"/>
      <c r="J54" s="130"/>
      <c r="K54" s="123"/>
      <c r="L54" s="130"/>
      <c r="M54" s="127"/>
      <c r="N54" s="130"/>
      <c r="O54" s="127"/>
      <c r="P54" s="130"/>
      <c r="Q54" s="127"/>
      <c r="AC54" s="5" t="s">
        <v>5</v>
      </c>
      <c r="AD54" s="177" t="s">
        <v>56</v>
      </c>
    </row>
    <row r="55" spans="1:30" ht="12.75">
      <c r="A55" s="5" t="s">
        <v>6</v>
      </c>
      <c r="B55" s="5"/>
      <c r="C55" s="134"/>
      <c r="D55" s="122"/>
      <c r="E55" s="123"/>
      <c r="G55" s="5" t="s">
        <v>6</v>
      </c>
      <c r="H55" s="130"/>
      <c r="I55" s="127"/>
      <c r="J55" s="130"/>
      <c r="K55" s="123"/>
      <c r="L55" s="130"/>
      <c r="M55" s="127"/>
      <c r="N55" s="130"/>
      <c r="O55" s="127"/>
      <c r="P55" s="130"/>
      <c r="Q55" s="127"/>
      <c r="AC55" s="5" t="s">
        <v>6</v>
      </c>
      <c r="AD55" s="177" t="s">
        <v>56</v>
      </c>
    </row>
    <row r="56" spans="1:30" ht="12.75">
      <c r="A56" s="5" t="s">
        <v>7</v>
      </c>
      <c r="B56" s="119">
        <v>0.26842691570660077</v>
      </c>
      <c r="C56" s="135"/>
      <c r="D56" s="130">
        <f>SUM(H56,J56,L56,N56,P56)</f>
        <v>826719.9948730174</v>
      </c>
      <c r="E56" s="127">
        <f>SUM(I56,K56,M56,O56,Q56)</f>
        <v>876142.5724006719</v>
      </c>
      <c r="G56" s="5" t="s">
        <v>7</v>
      </c>
      <c r="H56" s="130">
        <f>0.33*I$51*I$52*$B56</f>
        <v>37621.42564039953</v>
      </c>
      <c r="I56" s="127">
        <f>0.67*$I$51*$I$52*'MW-mi Impacts'!D53</f>
        <v>0</v>
      </c>
      <c r="J56" s="130">
        <f>0.33*K$51*K$52*$B56</f>
        <v>32185.216900817886</v>
      </c>
      <c r="K56" s="132">
        <f>0.67*$K$51*$K$52*'MW-mi Impacts'!G53</f>
        <v>0</v>
      </c>
      <c r="L56" s="130">
        <f aca="true" t="shared" si="19" ref="L56:L68">0.33*M$51*M$52*$B56</f>
        <v>193920.9129518851</v>
      </c>
      <c r="M56" s="127">
        <f>0.67*$M$51*$M$52*'MW-mi Impacts'!J53</f>
        <v>61575.997626158205</v>
      </c>
      <c r="N56" s="130">
        <f aca="true" t="shared" si="20" ref="N56:N68">0.33*O$51*O$52*$B56</f>
        <v>227909.29832356345</v>
      </c>
      <c r="O56" s="127">
        <f>0.67*$O$51*$O$52*'MW-mi Impacts'!M53/(1-'MW-mi Impacts'!$M$52)</f>
        <v>31090.81159145562</v>
      </c>
      <c r="P56" s="130">
        <f aca="true" t="shared" si="21" ref="P56:P68">0.33*Q$51*Q$52*$B56</f>
        <v>335083.1410563515</v>
      </c>
      <c r="Q56" s="127">
        <f>0.67*$Q$51*$Q$52*'MW-mi Impacts'!P53/(1-'MW-mi Impacts'!$P$52-'MW-mi Impacts'!$P$51)</f>
        <v>783475.7631830581</v>
      </c>
      <c r="AC56" s="5" t="s">
        <v>7</v>
      </c>
      <c r="AD56" s="130">
        <f>Q51*Q52</f>
        <v>3782793.0000000005</v>
      </c>
    </row>
    <row r="57" spans="1:30" ht="12.75">
      <c r="A57" s="5" t="s">
        <v>8</v>
      </c>
      <c r="B57" s="119">
        <v>0.023359037702306462</v>
      </c>
      <c r="C57" s="135"/>
      <c r="D57" s="130">
        <f aca="true" t="shared" si="22" ref="D57:D68">SUM(H57,J57,L57,N57,P57)</f>
        <v>71942.79857761128</v>
      </c>
      <c r="E57" s="127">
        <f aca="true" t="shared" si="23" ref="E57:E68">SUM(I57,K57,M57,O57,Q57)</f>
        <v>208404.2474656496</v>
      </c>
      <c r="G57" s="5" t="s">
        <v>8</v>
      </c>
      <c r="H57" s="130">
        <f aca="true" t="shared" si="24" ref="H57:J68">0.33*I$51*I$52*$B57</f>
        <v>3273.890390742963</v>
      </c>
      <c r="I57" s="127">
        <f>0.67*$I$51*$I$52*'MW-mi Impacts'!D54</f>
        <v>0</v>
      </c>
      <c r="J57" s="130">
        <f t="shared" si="24"/>
        <v>2800.820823292083</v>
      </c>
      <c r="K57" s="132">
        <f>0.67*$K$51*$K$52*'MW-mi Impacts'!G54</f>
        <v>0</v>
      </c>
      <c r="L57" s="130">
        <f t="shared" si="19"/>
        <v>16875.378927573707</v>
      </c>
      <c r="M57" s="127">
        <f>0.67*$M$51*$M$52*'MW-mi Impacts'!J54</f>
        <v>0</v>
      </c>
      <c r="N57" s="130">
        <f t="shared" si="20"/>
        <v>19833.115014685598</v>
      </c>
      <c r="O57" s="127">
        <f>0.67*$O$51*$O$52*'MW-mi Impacts'!M54/(1-'MW-mi Impacts'!$M$52)</f>
        <v>0</v>
      </c>
      <c r="P57" s="130">
        <f t="shared" si="21"/>
        <v>29159.593421316924</v>
      </c>
      <c r="Q57" s="127">
        <f>0.67*$Q$51*$Q$52*'MW-mi Impacts'!P54/(1-'MW-mi Impacts'!$P$52-'MW-mi Impacts'!$P$51)</f>
        <v>208404.2474656496</v>
      </c>
      <c r="AC57" s="5" t="s">
        <v>8</v>
      </c>
      <c r="AD57" s="130"/>
    </row>
    <row r="58" spans="1:30" ht="12.75">
      <c r="A58" s="5" t="s">
        <v>9</v>
      </c>
      <c r="B58" s="119">
        <v>0.1693140627525223</v>
      </c>
      <c r="C58" s="135"/>
      <c r="D58" s="130">
        <f t="shared" si="22"/>
        <v>521465.29613927583</v>
      </c>
      <c r="E58" s="127">
        <f t="shared" si="23"/>
        <v>1594889.532830425</v>
      </c>
      <c r="G58" s="5" t="s">
        <v>9</v>
      </c>
      <c r="H58" s="130">
        <f t="shared" si="24"/>
        <v>23730.244804065747</v>
      </c>
      <c r="I58" s="127">
        <f>0.67*$I$51*$I$52*'MW-mi Impacts'!D55</f>
        <v>284557.50899999996</v>
      </c>
      <c r="J58" s="130">
        <f t="shared" si="24"/>
        <v>20301.279473795395</v>
      </c>
      <c r="K58" s="132">
        <f>0.67*$K$51*$K$52*'MW-mi Impacts'!G55</f>
        <v>0</v>
      </c>
      <c r="L58" s="130">
        <f t="shared" si="19"/>
        <v>122318.35074411838</v>
      </c>
      <c r="M58" s="127">
        <f>0.67*$M$51*$M$52*'MW-mi Impacts'!J55</f>
        <v>385189.382541081</v>
      </c>
      <c r="N58" s="130">
        <f t="shared" si="20"/>
        <v>143757.00416130156</v>
      </c>
      <c r="O58" s="127">
        <f>0.67*$O$51*$O$52*'MW-mi Impacts'!M55/(1-'MW-mi Impacts'!$M$52)</f>
        <v>0</v>
      </c>
      <c r="P58" s="130">
        <f t="shared" si="21"/>
        <v>211358.41695599473</v>
      </c>
      <c r="Q58" s="127">
        <f>0.67*$Q$51*$Q$52*'MW-mi Impacts'!P55/(1-'MW-mi Impacts'!$P$52-'MW-mi Impacts'!$P$51)</f>
        <v>925142.641289344</v>
      </c>
      <c r="AC58" s="5" t="s">
        <v>9</v>
      </c>
      <c r="AD58" s="130">
        <f>I51*I52</f>
        <v>424712.69999999995</v>
      </c>
    </row>
    <row r="59" spans="1:30" ht="12.75">
      <c r="A59" s="5" t="s">
        <v>10</v>
      </c>
      <c r="B59" s="119">
        <v>0.037757139888717005</v>
      </c>
      <c r="C59" s="135"/>
      <c r="D59" s="130">
        <f t="shared" si="22"/>
        <v>116287.08102185425</v>
      </c>
      <c r="E59" s="127">
        <f t="shared" si="23"/>
        <v>1018588.8106532182</v>
      </c>
      <c r="G59" s="5" t="s">
        <v>10</v>
      </c>
      <c r="H59" s="130">
        <f t="shared" si="24"/>
        <v>5291.85915271685</v>
      </c>
      <c r="I59" s="127">
        <f>0.67*$I$51*$I$52*'MW-mi Impacts'!D56</f>
        <v>0</v>
      </c>
      <c r="J59" s="130">
        <f t="shared" si="24"/>
        <v>4527.1977799765655</v>
      </c>
      <c r="K59" s="132">
        <f>0.67*$K$51*$K$52*'MW-mi Impacts'!G56</f>
        <v>0</v>
      </c>
      <c r="L59" s="130">
        <f t="shared" si="19"/>
        <v>27277.067273220506</v>
      </c>
      <c r="M59" s="127">
        <f>0.67*$M$51*$M$52*'MW-mi Impacts'!J56</f>
        <v>872715.3727567771</v>
      </c>
      <c r="N59" s="130">
        <f t="shared" si="20"/>
        <v>32057.900140490696</v>
      </c>
      <c r="O59" s="127">
        <f>0.67*$O$51*$O$52*'MW-mi Impacts'!M56/(1-'MW-mi Impacts'!$M$52)</f>
        <v>0</v>
      </c>
      <c r="P59" s="130">
        <f t="shared" si="21"/>
        <v>47133.05667544963</v>
      </c>
      <c r="Q59" s="127">
        <f>0.67*$Q$51*$Q$52*'MW-mi Impacts'!P56/(1-'MW-mi Impacts'!$P$52-'MW-mi Impacts'!$P$51)</f>
        <v>145873.43789644106</v>
      </c>
      <c r="AC59" s="5" t="s">
        <v>10</v>
      </c>
      <c r="AD59" s="130">
        <f>M51*M52</f>
        <v>2189196</v>
      </c>
    </row>
    <row r="60" spans="1:30" ht="12.75">
      <c r="A60" s="5" t="s">
        <v>11</v>
      </c>
      <c r="B60" s="119">
        <v>0.13787142428370233</v>
      </c>
      <c r="C60" s="135"/>
      <c r="D60" s="130">
        <f t="shared" si="22"/>
        <v>424626.05837017833</v>
      </c>
      <c r="E60" s="127">
        <f t="shared" si="23"/>
        <v>110123.63815077695</v>
      </c>
      <c r="G60" s="5" t="s">
        <v>11</v>
      </c>
      <c r="H60" s="130">
        <f t="shared" si="24"/>
        <v>19323.395803924337</v>
      </c>
      <c r="I60" s="127">
        <f>0.67*$I$51*$I$52*'MW-mi Impacts'!D57</f>
        <v>0</v>
      </c>
      <c r="J60" s="130">
        <f t="shared" si="24"/>
        <v>16531.209932188372</v>
      </c>
      <c r="K60" s="132">
        <f>0.67*$K$51*$K$52*'MW-mi Impacts'!G57</f>
        <v>0</v>
      </c>
      <c r="L60" s="130">
        <f t="shared" si="19"/>
        <v>99603.09828354073</v>
      </c>
      <c r="M60" s="127">
        <f>0.67*$M$51*$M$52*'MW-mi Impacts'!J57</f>
        <v>68215.37746254394</v>
      </c>
      <c r="N60" s="130">
        <f t="shared" si="20"/>
        <v>117060.46498598656</v>
      </c>
      <c r="O60" s="127">
        <f>0.67*$O$51*$O$52*'MW-mi Impacts'!M57/(1-'MW-mi Impacts'!$M$52)</f>
        <v>0</v>
      </c>
      <c r="P60" s="130">
        <f t="shared" si="21"/>
        <v>172107.88936453837</v>
      </c>
      <c r="Q60" s="127">
        <f>0.67*$Q$51*$Q$52*'MW-mi Impacts'!P57/(1-'MW-mi Impacts'!$P$52-'MW-mi Impacts'!$P$51)</f>
        <v>41908.260688233015</v>
      </c>
      <c r="AC60" s="5" t="s">
        <v>11</v>
      </c>
      <c r="AD60" s="130"/>
    </row>
    <row r="61" spans="1:30" ht="12.75">
      <c r="A61" s="5" t="s">
        <v>12</v>
      </c>
      <c r="B61" s="119">
        <v>0.008591531410892802</v>
      </c>
      <c r="C61" s="135"/>
      <c r="D61" s="130">
        <f t="shared" si="22"/>
        <v>26460.79952626004</v>
      </c>
      <c r="E61" s="127">
        <f t="shared" si="23"/>
        <v>0</v>
      </c>
      <c r="G61" s="5" t="s">
        <v>12</v>
      </c>
      <c r="H61" s="130">
        <f t="shared" si="24"/>
        <v>1204.14772587618</v>
      </c>
      <c r="I61" s="127">
        <f>0.67*$I$51*$I$52*'MW-mi Impacts'!D58</f>
        <v>0</v>
      </c>
      <c r="J61" s="130">
        <f t="shared" si="24"/>
        <v>1030.1511725896382</v>
      </c>
      <c r="K61" s="132">
        <f>0.67*$K$51*$K$52*'MW-mi Impacts'!G58</f>
        <v>0</v>
      </c>
      <c r="L61" s="130">
        <f t="shared" si="19"/>
        <v>6206.820245538291</v>
      </c>
      <c r="M61" s="127">
        <f>0.67*$M$51*$M$52*'MW-mi Impacts'!J58</f>
        <v>0</v>
      </c>
      <c r="N61" s="130">
        <f t="shared" si="20"/>
        <v>7294.685371722144</v>
      </c>
      <c r="O61" s="127">
        <f>0.67*$O$51*$O$52*'MW-mi Impacts'!M58/(1-'MW-mi Impacts'!$M$52)</f>
        <v>0</v>
      </c>
      <c r="P61" s="130">
        <f t="shared" si="21"/>
        <v>10724.995010533788</v>
      </c>
      <c r="Q61" s="127">
        <f>0.67*$Q$51*$Q$52*'MW-mi Impacts'!P58/(1-'MW-mi Impacts'!$P$52-'MW-mi Impacts'!$P$51)</f>
        <v>0</v>
      </c>
      <c r="AC61" s="5" t="s">
        <v>12</v>
      </c>
      <c r="AD61" s="130"/>
    </row>
    <row r="62" spans="1:30" ht="12.75">
      <c r="A62" s="5" t="s">
        <v>13</v>
      </c>
      <c r="B62" s="119">
        <v>0.011644887216309189</v>
      </c>
      <c r="C62" s="135"/>
      <c r="D62" s="130">
        <f t="shared" si="22"/>
        <v>35864.73835688924</v>
      </c>
      <c r="E62" s="127">
        <f t="shared" si="23"/>
        <v>0</v>
      </c>
      <c r="G62" s="5" t="s">
        <v>13</v>
      </c>
      <c r="H62" s="130">
        <f t="shared" si="24"/>
        <v>1632.0913919752727</v>
      </c>
      <c r="I62" s="127">
        <f>0.67*$I$51*$I$52*'MW-mi Impacts'!D59</f>
        <v>0</v>
      </c>
      <c r="J62" s="130">
        <f t="shared" si="24"/>
        <v>1396.2579715818576</v>
      </c>
      <c r="K62" s="132">
        <f>0.67*$K$51*$K$52*'MW-mi Impacts'!G59</f>
        <v>0</v>
      </c>
      <c r="L62" s="130">
        <f t="shared" si="19"/>
        <v>8412.67036975042</v>
      </c>
      <c r="M62" s="127">
        <f>0.67*$M$51*$M$52*'MW-mi Impacts'!J59</f>
        <v>0</v>
      </c>
      <c r="N62" s="130">
        <f t="shared" si="20"/>
        <v>9887.153333859203</v>
      </c>
      <c r="O62" s="127">
        <f>0.67*$O$51*$O$52*'MW-mi Impacts'!M59/(1-'MW-mi Impacts'!$M$52)</f>
        <v>0</v>
      </c>
      <c r="P62" s="130">
        <f t="shared" si="21"/>
        <v>14536.565289722485</v>
      </c>
      <c r="Q62" s="127">
        <f>0.67*$Q$51*$Q$52*'MW-mi Impacts'!P59/(1-'MW-mi Impacts'!$P$52-'MW-mi Impacts'!$P$51)</f>
        <v>0</v>
      </c>
      <c r="AC62" s="5" t="s">
        <v>13</v>
      </c>
      <c r="AD62" s="130"/>
    </row>
    <row r="63" spans="1:30" ht="12.75">
      <c r="A63" s="5" t="s">
        <v>14</v>
      </c>
      <c r="B63" s="119">
        <v>0.1379637753099531</v>
      </c>
      <c r="C63" s="135"/>
      <c r="D63" s="130">
        <f t="shared" si="22"/>
        <v>424910.4875219554</v>
      </c>
      <c r="E63" s="127">
        <f t="shared" si="23"/>
        <v>497133.752189521</v>
      </c>
      <c r="G63" s="5" t="s">
        <v>14</v>
      </c>
      <c r="H63" s="130">
        <f t="shared" si="24"/>
        <v>19336.33927964756</v>
      </c>
      <c r="I63" s="127">
        <f>0.67*$I$51*$I$52*'MW-mi Impacts'!D60</f>
        <v>0</v>
      </c>
      <c r="J63" s="130">
        <f t="shared" si="24"/>
        <v>16542.283105692863</v>
      </c>
      <c r="K63" s="132">
        <f>0.67*$K$51*$K$52*'MW-mi Impacts'!G60</f>
        <v>243439.60900000003</v>
      </c>
      <c r="L63" s="130">
        <f t="shared" si="19"/>
        <v>99669.81586763788</v>
      </c>
      <c r="M63" s="127">
        <f>0.67*$M$51*$M$52*'MW-mi Impacts'!J60</f>
        <v>79065.18961344016</v>
      </c>
      <c r="N63" s="130">
        <f t="shared" si="20"/>
        <v>117138.87611527614</v>
      </c>
      <c r="O63" s="127">
        <f>0.67*$O$51*$O$52*'MW-mi Impacts'!M60/(1-'MW-mi Impacts'!$M$52)</f>
        <v>31109.172803373815</v>
      </c>
      <c r="P63" s="130">
        <f t="shared" si="21"/>
        <v>172223.17315370095</v>
      </c>
      <c r="Q63" s="127">
        <f>0.67*$Q$51*$Q$52*'MW-mi Impacts'!P60/(1-'MW-mi Impacts'!$P$52-'MW-mi Impacts'!$P$51)</f>
        <v>143519.78077270696</v>
      </c>
      <c r="AC63" s="5" t="s">
        <v>14</v>
      </c>
      <c r="AD63" s="130">
        <f>K51*K52</f>
        <v>363342.7</v>
      </c>
    </row>
    <row r="64" spans="1:30" ht="12.75">
      <c r="A64" s="5" t="s">
        <v>15</v>
      </c>
      <c r="B64" s="119">
        <v>0.014499111121372334</v>
      </c>
      <c r="C64" s="135"/>
      <c r="D64" s="130">
        <f t="shared" si="22"/>
        <v>44655.37682899914</v>
      </c>
      <c r="E64" s="127">
        <f t="shared" si="23"/>
        <v>37906.14178372897</v>
      </c>
      <c r="G64" s="5" t="s">
        <v>15</v>
      </c>
      <c r="H64" s="130">
        <f t="shared" si="24"/>
        <v>2032.1256885461635</v>
      </c>
      <c r="I64" s="127">
        <f>0.67*$I$51*$I$52*'MW-mi Impacts'!D61</f>
        <v>0</v>
      </c>
      <c r="J64" s="130">
        <f t="shared" si="24"/>
        <v>1738.4882402050193</v>
      </c>
      <c r="K64" s="132">
        <f>0.67*$K$51*$K$52*'MW-mi Impacts'!G61</f>
        <v>0</v>
      </c>
      <c r="L64" s="130">
        <f t="shared" si="19"/>
        <v>10474.660703253065</v>
      </c>
      <c r="M64" s="127">
        <f>0.67*$M$51*$M$52*'MW-mi Impacts'!J61</f>
        <v>0</v>
      </c>
      <c r="N64" s="130">
        <f t="shared" si="20"/>
        <v>12310.547298465586</v>
      </c>
      <c r="O64" s="127">
        <f>0.67*$O$51*$O$52*'MW-mi Impacts'!M61/(1-'MW-mi Impacts'!$M$52)</f>
        <v>0</v>
      </c>
      <c r="P64" s="130">
        <f t="shared" si="21"/>
        <v>18099.55489852931</v>
      </c>
      <c r="Q64" s="127">
        <f>0.67*$Q$51*$Q$52*'MW-mi Impacts'!P61/(1-'MW-mi Impacts'!$P$52-'MW-mi Impacts'!$P$51)</f>
        <v>37906.14178372897</v>
      </c>
      <c r="AC64" s="5" t="s">
        <v>15</v>
      </c>
      <c r="AD64" s="130"/>
    </row>
    <row r="65" spans="1:30" ht="12.75">
      <c r="A65" s="5" t="s">
        <v>16</v>
      </c>
      <c r="B65" s="119">
        <v>0.0483371043335719</v>
      </c>
      <c r="C65" s="135"/>
      <c r="D65" s="130">
        <f t="shared" si="22"/>
        <v>148871.99572231423</v>
      </c>
      <c r="E65" s="127">
        <f t="shared" si="23"/>
        <v>72521.8102393583</v>
      </c>
      <c r="G65" s="5" t="s">
        <v>16</v>
      </c>
      <c r="H65" s="130">
        <f t="shared" si="24"/>
        <v>6774.696090258697</v>
      </c>
      <c r="I65" s="127">
        <f>0.67*$I$51*$I$52*'MW-mi Impacts'!D62</f>
        <v>0</v>
      </c>
      <c r="J65" s="130">
        <f t="shared" si="24"/>
        <v>5795.7682195847665</v>
      </c>
      <c r="K65" s="132">
        <f>0.67*$K$51*$K$52*'MW-mi Impacts'!G62</f>
        <v>0</v>
      </c>
      <c r="L65" s="130">
        <f t="shared" si="19"/>
        <v>34920.40050135063</v>
      </c>
      <c r="M65" s="127">
        <f>0.67*$M$51*$M$52*'MW-mi Impacts'!J62</f>
        <v>0</v>
      </c>
      <c r="N65" s="130">
        <f t="shared" si="20"/>
        <v>41040.875139729316</v>
      </c>
      <c r="O65" s="127">
        <f>0.67*$O$51*$O$52*'MW-mi Impacts'!M62/(1-'MW-mi Impacts'!$M$52)</f>
        <v>41541.319390377685</v>
      </c>
      <c r="P65" s="130">
        <f t="shared" si="21"/>
        <v>60340.2557713908</v>
      </c>
      <c r="Q65" s="127">
        <f>0.67*$Q$51*$Q$52*'MW-mi Impacts'!P62/(1-'MW-mi Impacts'!$P$52-'MW-mi Impacts'!$P$51)</f>
        <v>30980.490848980608</v>
      </c>
      <c r="AC65" s="5" t="s">
        <v>16</v>
      </c>
      <c r="AD65" s="130"/>
    </row>
    <row r="66" spans="1:30" ht="12.75">
      <c r="A66" s="5" t="s">
        <v>17</v>
      </c>
      <c r="B66" s="119">
        <v>0.09225867522452841</v>
      </c>
      <c r="C66" s="135"/>
      <c r="D66" s="130">
        <f t="shared" si="22"/>
        <v>284144.72262528754</v>
      </c>
      <c r="E66" s="127">
        <f t="shared" si="23"/>
        <v>149406.07462116366</v>
      </c>
      <c r="G66" s="5" t="s">
        <v>17</v>
      </c>
      <c r="H66" s="130">
        <f t="shared" si="24"/>
        <v>12930.532247500747</v>
      </c>
      <c r="I66" s="127">
        <f>0.67*$I$51*$I$52*'MW-mi Impacts'!D63</f>
        <v>0</v>
      </c>
      <c r="J66" s="130">
        <f t="shared" si="24"/>
        <v>11062.100330986077</v>
      </c>
      <c r="K66" s="132">
        <f>0.67*$K$51*$K$52*'MW-mi Impacts'!G63</f>
        <v>0</v>
      </c>
      <c r="L66" s="130">
        <f t="shared" si="19"/>
        <v>66650.86651305611</v>
      </c>
      <c r="M66" s="127">
        <f>0.67*$M$51*$M$52*'MW-mi Impacts'!J63</f>
        <v>0</v>
      </c>
      <c r="N66" s="130">
        <f t="shared" si="20"/>
        <v>78332.71816030012</v>
      </c>
      <c r="O66" s="127">
        <f>0.67*$O$51*$O$52*'MW-mi Impacts'!M63/(1-'MW-mi Impacts'!$M$52)</f>
        <v>52444.400251094834</v>
      </c>
      <c r="P66" s="130">
        <f t="shared" si="21"/>
        <v>115168.50537344445</v>
      </c>
      <c r="Q66" s="127">
        <f>0.67*$Q$51*$Q$52*'MW-mi Impacts'!P63/(1-'MW-mi Impacts'!$P$52-'MW-mi Impacts'!$P$51)</f>
        <v>96961.67437006881</v>
      </c>
      <c r="AC66" s="5" t="s">
        <v>17</v>
      </c>
      <c r="AD66" s="130"/>
    </row>
    <row r="67" spans="1:30" ht="12.75">
      <c r="A67" s="5" t="s">
        <v>18</v>
      </c>
      <c r="B67" s="119">
        <v>0.031468612194953005</v>
      </c>
      <c r="C67" s="135"/>
      <c r="D67" s="130">
        <f t="shared" si="22"/>
        <v>96919.23346803474</v>
      </c>
      <c r="E67" s="127">
        <f t="shared" si="23"/>
        <v>1458505.7839697425</v>
      </c>
      <c r="G67" s="5" t="s">
        <v>18</v>
      </c>
      <c r="H67" s="130">
        <f t="shared" si="24"/>
        <v>4410.489352688567</v>
      </c>
      <c r="I67" s="127">
        <f>0.67*$I$51*$I$52*'MW-mi Impacts'!D64</f>
        <v>0</v>
      </c>
      <c r="J67" s="130">
        <f t="shared" si="24"/>
        <v>3773.1838716551606</v>
      </c>
      <c r="K67" s="132">
        <f>0.67*$K$51*$K$52*'MW-mi Impacts'!G64</f>
        <v>0</v>
      </c>
      <c r="L67" s="130">
        <f t="shared" si="19"/>
        <v>22734.016781104972</v>
      </c>
      <c r="M67" s="127">
        <f>0.67*$M$51*$M$52*'MW-mi Impacts'!J64</f>
        <v>0</v>
      </c>
      <c r="N67" s="130">
        <f t="shared" si="20"/>
        <v>26718.592305427694</v>
      </c>
      <c r="O67" s="127">
        <f>0.67*$O$51*$O$52*'MW-mi Impacts'!M64/(1-'MW-mi Impacts'!$M$52)</f>
        <v>1399652.0625705149</v>
      </c>
      <c r="P67" s="130">
        <f t="shared" si="21"/>
        <v>39282.95115715835</v>
      </c>
      <c r="Q67" s="127">
        <f>0.67*$Q$51*$Q$52*'MW-mi Impacts'!P64/(1-'MW-mi Impacts'!$P$52-'MW-mi Impacts'!$P$51)</f>
        <v>58853.721399227674</v>
      </c>
      <c r="AC67" s="5" t="s">
        <v>18</v>
      </c>
      <c r="AD67" s="130">
        <f>O51*O52</f>
        <v>2572894.881</v>
      </c>
    </row>
    <row r="68" spans="1:30" ht="12.75">
      <c r="A68" s="5" t="s">
        <v>19</v>
      </c>
      <c r="B68" s="119">
        <v>0.018507722854570217</v>
      </c>
      <c r="C68" s="135"/>
      <c r="D68" s="130">
        <f t="shared" si="22"/>
        <v>57001.379698322344</v>
      </c>
      <c r="E68" s="127">
        <f t="shared" si="23"/>
        <v>229446.95396574424</v>
      </c>
      <c r="G68" s="5" t="s">
        <v>19</v>
      </c>
      <c r="H68" s="130">
        <f t="shared" si="24"/>
        <v>2593.953431657354</v>
      </c>
      <c r="I68" s="127">
        <f>0.67*$I$51*$I$52*'MW-mi Impacts'!D65</f>
        <v>0</v>
      </c>
      <c r="J68" s="130">
        <f t="shared" si="24"/>
        <v>2219.1331776343127</v>
      </c>
      <c r="K68" s="132">
        <f>0.67*$K$51*$K$52*'MW-mi Impacts'!G65</f>
        <v>0</v>
      </c>
      <c r="L68" s="130">
        <f t="shared" si="19"/>
        <v>13370.620837970122</v>
      </c>
      <c r="M68" s="127">
        <f>0.67*$M$51*$M$52*'MW-mi Impacts'!J65</f>
        <v>0</v>
      </c>
      <c r="N68" s="130">
        <f t="shared" si="20"/>
        <v>15714.080379191839</v>
      </c>
      <c r="O68" s="127">
        <f>0.67*$O$51*$O$52*'MW-mi Impacts'!M65/(1-'MW-mi Impacts'!$M$52)</f>
        <v>168001.803663183</v>
      </c>
      <c r="P68" s="130">
        <f t="shared" si="21"/>
        <v>23103.59187186872</v>
      </c>
      <c r="Q68" s="127">
        <f>0.67*$Q$51*$Q$52*'MW-mi Impacts'!P65/(1-'MW-mi Impacts'!$P$52-'MW-mi Impacts'!$P$51)</f>
        <v>61445.150302561226</v>
      </c>
      <c r="AC68" s="5" t="s">
        <v>19</v>
      </c>
      <c r="AD68" s="130"/>
    </row>
    <row r="69" spans="1:30" ht="12.75">
      <c r="A69" s="2" t="s">
        <v>20</v>
      </c>
      <c r="B69" s="119">
        <v>1</v>
      </c>
      <c r="C69" s="135"/>
      <c r="D69" s="130">
        <f>SUM(D56:D68)</f>
        <v>3079869.96273</v>
      </c>
      <c r="E69" s="127">
        <f>SUM(E56:E68)</f>
        <v>6253069.318269999</v>
      </c>
      <c r="G69" s="2" t="s">
        <v>20</v>
      </c>
      <c r="H69" s="130">
        <f aca="true" t="shared" si="25" ref="H69:Q69">SUM(H56:H68)</f>
        <v>140155.19099999996</v>
      </c>
      <c r="I69" s="127">
        <f t="shared" si="25"/>
        <v>284557.50899999996</v>
      </c>
      <c r="J69" s="130">
        <f t="shared" si="25"/>
        <v>119903.09100000001</v>
      </c>
      <c r="K69" s="127">
        <f t="shared" si="25"/>
        <v>243439.60900000003</v>
      </c>
      <c r="L69" s="130">
        <f t="shared" si="25"/>
        <v>722434.68</v>
      </c>
      <c r="M69" s="127">
        <f t="shared" si="25"/>
        <v>1466761.3200000003</v>
      </c>
      <c r="N69" s="130">
        <f t="shared" si="25"/>
        <v>849055.3107299998</v>
      </c>
      <c r="O69" s="127">
        <f t="shared" si="25"/>
        <v>1723839.5702699998</v>
      </c>
      <c r="P69" s="130">
        <f t="shared" si="25"/>
        <v>1248321.6900000002</v>
      </c>
      <c r="Q69" s="127">
        <f t="shared" si="25"/>
        <v>2534471.3099999996</v>
      </c>
      <c r="AC69" s="2" t="s">
        <v>20</v>
      </c>
      <c r="AD69" s="130">
        <f>SUM(AD54:AD68)</f>
        <v>9332939.281</v>
      </c>
    </row>
    <row r="70" spans="4:30" ht="12.75">
      <c r="D70" s="131">
        <f>SUM(H70,J70,L70,N70,P70)</f>
        <v>3079869.9627300003</v>
      </c>
      <c r="E70" s="131">
        <f>SUM(I70,K70,M70,O70,Q70)</f>
        <v>6253069.318270001</v>
      </c>
      <c r="H70" s="131">
        <f>I51*I52*0.33</f>
        <v>140155.191</v>
      </c>
      <c r="I70" s="131">
        <f>I51*I52*0.67</f>
        <v>284557.50899999996</v>
      </c>
      <c r="J70" s="131">
        <f>K51*K52*0.33</f>
        <v>119903.09100000001</v>
      </c>
      <c r="K70" s="131">
        <f>K51*K52*0.67</f>
        <v>243439.60900000003</v>
      </c>
      <c r="L70" s="131">
        <f>M51*M52*0.33</f>
        <v>722434.68</v>
      </c>
      <c r="M70" s="131">
        <f>M51*M52*0.67</f>
        <v>1466761.32</v>
      </c>
      <c r="N70" s="131">
        <f>O51*O52*0.33</f>
        <v>849055.31073</v>
      </c>
      <c r="O70" s="131">
        <f>O51*O52*0.67</f>
        <v>1723839.57027</v>
      </c>
      <c r="P70" s="131">
        <f>Q51*Q52*0.33</f>
        <v>1248321.6900000002</v>
      </c>
      <c r="Q70" s="131">
        <f>Q51*Q52*0.67</f>
        <v>2534471.3100000005</v>
      </c>
      <c r="AD70" s="136">
        <f>SUM(D70:E70)</f>
        <v>9332939.281000001</v>
      </c>
    </row>
  </sheetData>
  <printOptions/>
  <pageMargins left="0.75" right="0.75" top="1" bottom="1" header="0.5" footer="0.5"/>
  <pageSetup orientation="portrait" paperSize="9"/>
  <ignoredErrors>
    <ignoredError sqref="O46 I69 K69 M70 I24:R24 D23:E23 O33:O45 O47 D46:E46 D69:E69 M56:M68 K56:K68 I56:I68 M69" formula="1"/>
  </ignoredErrors>
</worksheet>
</file>

<file path=xl/worksheets/sheet7.xml><?xml version="1.0" encoding="utf-8"?>
<worksheet xmlns="http://schemas.openxmlformats.org/spreadsheetml/2006/main" xmlns:r="http://schemas.openxmlformats.org/officeDocument/2006/relationships">
  <dimension ref="A2:Y66"/>
  <sheetViews>
    <sheetView showGridLines="0" zoomScale="85" zoomScaleNormal="85" workbookViewId="0" topLeftCell="A1">
      <pane xSplit="1" topLeftCell="B1" activePane="topRight" state="frozen"/>
      <selection pane="topLeft" activeCell="A1" sqref="A1"/>
      <selection pane="topRight" activeCell="P53" sqref="P53"/>
    </sheetView>
  </sheetViews>
  <sheetFormatPr defaultColWidth="9.140625" defaultRowHeight="12.75"/>
  <cols>
    <col min="1" max="1" width="9.00390625" style="0" bestFit="1" customWidth="1"/>
    <col min="2" max="224" width="12.57421875" style="0" customWidth="1"/>
  </cols>
  <sheetData>
    <row r="2" ht="20.25">
      <c r="A2" s="15">
        <v>2006</v>
      </c>
    </row>
    <row r="4" spans="2:17" ht="13.5" thickBot="1">
      <c r="B4" s="10" t="s">
        <v>21</v>
      </c>
      <c r="E4" s="10" t="s">
        <v>22</v>
      </c>
      <c r="H4" s="10" t="s">
        <v>23</v>
      </c>
      <c r="K4" s="10" t="s">
        <v>24</v>
      </c>
      <c r="N4" s="10" t="s">
        <v>25</v>
      </c>
      <c r="Q4" s="10" t="s">
        <v>401</v>
      </c>
    </row>
    <row r="5" spans="1:19" ht="13.5" thickBot="1">
      <c r="A5" s="1"/>
      <c r="B5" s="187" t="s">
        <v>0</v>
      </c>
      <c r="C5" s="188"/>
      <c r="D5" s="189"/>
      <c r="E5" s="187" t="s">
        <v>0</v>
      </c>
      <c r="F5" s="188"/>
      <c r="G5" s="189"/>
      <c r="H5" s="187" t="s">
        <v>0</v>
      </c>
      <c r="I5" s="188"/>
      <c r="J5" s="189"/>
      <c r="K5" s="187" t="s">
        <v>0</v>
      </c>
      <c r="L5" s="188"/>
      <c r="M5" s="189"/>
      <c r="N5" s="187" t="s">
        <v>0</v>
      </c>
      <c r="O5" s="188"/>
      <c r="P5" s="189"/>
      <c r="Q5" s="187" t="s">
        <v>0</v>
      </c>
      <c r="R5" s="188"/>
      <c r="S5" s="189"/>
    </row>
    <row r="6" spans="1:19" ht="12.75">
      <c r="A6" s="2" t="s">
        <v>1</v>
      </c>
      <c r="B6" s="3" t="s">
        <v>2</v>
      </c>
      <c r="C6" s="3" t="s">
        <v>3</v>
      </c>
      <c r="D6" s="4" t="s">
        <v>4</v>
      </c>
      <c r="E6" s="3" t="s">
        <v>2</v>
      </c>
      <c r="F6" s="3" t="s">
        <v>3</v>
      </c>
      <c r="G6" s="4" t="s">
        <v>4</v>
      </c>
      <c r="H6" s="3" t="s">
        <v>2</v>
      </c>
      <c r="I6" s="3" t="s">
        <v>3</v>
      </c>
      <c r="J6" s="4" t="s">
        <v>4</v>
      </c>
      <c r="K6" s="3" t="s">
        <v>2</v>
      </c>
      <c r="L6" s="3" t="s">
        <v>3</v>
      </c>
      <c r="M6" s="4" t="s">
        <v>4</v>
      </c>
      <c r="N6" s="3" t="s">
        <v>2</v>
      </c>
      <c r="O6" s="3" t="s">
        <v>3</v>
      </c>
      <c r="P6" s="4" t="s">
        <v>4</v>
      </c>
      <c r="Q6" s="3" t="s">
        <v>2</v>
      </c>
      <c r="R6" s="3" t="s">
        <v>3</v>
      </c>
      <c r="S6" s="4" t="s">
        <v>4</v>
      </c>
    </row>
    <row r="7" spans="1:19" ht="12.75">
      <c r="A7" s="5" t="s">
        <v>5</v>
      </c>
      <c r="B7" s="6">
        <v>0</v>
      </c>
      <c r="C7" s="6">
        <v>0</v>
      </c>
      <c r="D7" s="7">
        <v>0</v>
      </c>
      <c r="E7" s="6">
        <v>0</v>
      </c>
      <c r="F7" s="6">
        <v>0</v>
      </c>
      <c r="G7" s="7">
        <v>0</v>
      </c>
      <c r="H7" s="6">
        <v>15.360000000000639</v>
      </c>
      <c r="I7" s="6">
        <v>2.9633319389468644</v>
      </c>
      <c r="J7" s="7">
        <v>0.031182145653959516</v>
      </c>
      <c r="K7" s="6">
        <v>15.360000000000639</v>
      </c>
      <c r="L7" s="6">
        <v>2.352095416572777</v>
      </c>
      <c r="M7" s="7">
        <v>0.024984731864516857</v>
      </c>
      <c r="N7" s="6">
        <v>6.009999999998286</v>
      </c>
      <c r="O7" s="6">
        <v>0</v>
      </c>
      <c r="P7" s="7">
        <v>0</v>
      </c>
      <c r="Q7" s="6">
        <v>0</v>
      </c>
      <c r="R7" s="6">
        <v>0</v>
      </c>
      <c r="S7" s="7">
        <v>0</v>
      </c>
    </row>
    <row r="8" spans="1:19" ht="12.75">
      <c r="A8" s="5" t="s">
        <v>6</v>
      </c>
      <c r="B8" s="6">
        <v>2.3499999999999446</v>
      </c>
      <c r="C8" s="6">
        <v>0</v>
      </c>
      <c r="D8" s="7">
        <v>0</v>
      </c>
      <c r="E8" s="6">
        <v>0.6975999999999432</v>
      </c>
      <c r="F8" s="6">
        <v>0</v>
      </c>
      <c r="G8" s="7">
        <v>0</v>
      </c>
      <c r="H8" s="6">
        <v>14.457600000000177</v>
      </c>
      <c r="I8" s="6">
        <v>2.789236187533654</v>
      </c>
      <c r="J8" s="7">
        <v>0.02935019459678853</v>
      </c>
      <c r="K8" s="6">
        <v>66.6976000000003</v>
      </c>
      <c r="L8" s="6">
        <v>10.213484326588455</v>
      </c>
      <c r="M8" s="7">
        <v>0.10849099296918868</v>
      </c>
      <c r="N8" s="6">
        <v>24.3776</v>
      </c>
      <c r="O8" s="6">
        <v>4.255224651706697</v>
      </c>
      <c r="P8" s="7">
        <v>0</v>
      </c>
      <c r="Q8" s="6">
        <v>0.19999999999999574</v>
      </c>
      <c r="R8" s="6">
        <v>0</v>
      </c>
      <c r="S8" s="7">
        <v>0</v>
      </c>
    </row>
    <row r="9" spans="1:19" ht="12.75">
      <c r="A9" s="5" t="s">
        <v>7</v>
      </c>
      <c r="B9" s="6">
        <v>22.337690000001743</v>
      </c>
      <c r="C9" s="6">
        <v>2.0966596607465626</v>
      </c>
      <c r="D9" s="7">
        <v>0</v>
      </c>
      <c r="E9" s="6">
        <v>21.00831600000579</v>
      </c>
      <c r="F9" s="6">
        <v>0.47395041435528945</v>
      </c>
      <c r="G9" s="7">
        <v>0</v>
      </c>
      <c r="H9" s="6">
        <v>6.20980000000009</v>
      </c>
      <c r="I9" s="6">
        <v>0</v>
      </c>
      <c r="J9" s="7">
        <v>0</v>
      </c>
      <c r="K9" s="6">
        <v>48.06450080000147</v>
      </c>
      <c r="L9" s="6">
        <v>7.360175262469879</v>
      </c>
      <c r="M9" s="7">
        <v>0.07818220473241165</v>
      </c>
      <c r="N9" s="6">
        <v>43.91903999999994</v>
      </c>
      <c r="O9" s="6">
        <v>7.666274846059178</v>
      </c>
      <c r="P9" s="7">
        <v>0</v>
      </c>
      <c r="Q9" s="6">
        <v>0</v>
      </c>
      <c r="R9" s="6">
        <v>0</v>
      </c>
      <c r="S9" s="7">
        <v>0</v>
      </c>
    </row>
    <row r="10" spans="1:19" ht="12.75">
      <c r="A10" s="5" t="s">
        <v>8</v>
      </c>
      <c r="B10" s="6">
        <v>6.859999999999133</v>
      </c>
      <c r="C10" s="6">
        <v>0</v>
      </c>
      <c r="D10" s="7">
        <v>0</v>
      </c>
      <c r="E10" s="6">
        <v>4.282700000002649</v>
      </c>
      <c r="F10" s="6">
        <v>0</v>
      </c>
      <c r="G10" s="7">
        <v>0</v>
      </c>
      <c r="H10" s="6">
        <v>9.139999999999432</v>
      </c>
      <c r="I10" s="6">
        <v>0</v>
      </c>
      <c r="J10" s="7">
        <v>0</v>
      </c>
      <c r="K10" s="6">
        <v>13.52000000000028</v>
      </c>
      <c r="L10" s="6">
        <v>2.0703339864624533</v>
      </c>
      <c r="M10" s="7">
        <v>0</v>
      </c>
      <c r="N10" s="6">
        <v>19.062700000002494</v>
      </c>
      <c r="O10" s="6">
        <v>3.327483877334104</v>
      </c>
      <c r="P10" s="7">
        <v>0</v>
      </c>
      <c r="Q10" s="6">
        <v>0</v>
      </c>
      <c r="R10" s="6">
        <v>0</v>
      </c>
      <c r="S10" s="7">
        <v>0</v>
      </c>
    </row>
    <row r="11" spans="1:19" ht="12.75">
      <c r="A11" s="5" t="s">
        <v>9</v>
      </c>
      <c r="B11" s="6">
        <v>55.93956999999706</v>
      </c>
      <c r="C11" s="6">
        <v>5.250598421703108</v>
      </c>
      <c r="D11" s="7">
        <v>0</v>
      </c>
      <c r="E11" s="6">
        <v>74.19635000000207</v>
      </c>
      <c r="F11" s="6">
        <v>1.6738795639851078</v>
      </c>
      <c r="G11" s="7">
        <v>0.017133849496436097</v>
      </c>
      <c r="H11" s="6">
        <v>317.25505000000226</v>
      </c>
      <c r="I11" s="6">
        <v>61.20651187872084</v>
      </c>
      <c r="J11" s="7">
        <v>0.6440555454787674</v>
      </c>
      <c r="K11" s="6">
        <v>378.99270000000575</v>
      </c>
      <c r="L11" s="6">
        <v>58.035611496387894</v>
      </c>
      <c r="M11" s="7">
        <v>0.6164733716216816</v>
      </c>
      <c r="N11" s="6">
        <v>392.1489400000034</v>
      </c>
      <c r="O11" s="6">
        <v>68.45144052854525</v>
      </c>
      <c r="P11" s="7">
        <v>0.8562971606144436</v>
      </c>
      <c r="Q11" s="6">
        <v>0.19999999999999485</v>
      </c>
      <c r="R11" s="6">
        <v>0</v>
      </c>
      <c r="S11" s="7">
        <v>0</v>
      </c>
    </row>
    <row r="12" spans="1:19" ht="12.75">
      <c r="A12" s="5" t="s">
        <v>10</v>
      </c>
      <c r="B12" s="6">
        <v>8.949999999999825</v>
      </c>
      <c r="C12" s="6">
        <v>0</v>
      </c>
      <c r="D12" s="7">
        <v>0</v>
      </c>
      <c r="E12" s="6">
        <v>12.28</v>
      </c>
      <c r="F12" s="6">
        <v>0.27703843983883986</v>
      </c>
      <c r="G12" s="7">
        <v>0</v>
      </c>
      <c r="H12" s="6">
        <v>29.639999999999176</v>
      </c>
      <c r="I12" s="6">
        <v>5.718304600936131</v>
      </c>
      <c r="J12" s="7">
        <v>0.06017179669162083</v>
      </c>
      <c r="K12" s="6">
        <v>9.899999999999903</v>
      </c>
      <c r="L12" s="6">
        <v>0</v>
      </c>
      <c r="M12" s="7">
        <v>0</v>
      </c>
      <c r="N12" s="6">
        <v>65.81000000000014</v>
      </c>
      <c r="O12" s="6">
        <v>11.487444798865283</v>
      </c>
      <c r="P12" s="7">
        <v>0.14370283938555636</v>
      </c>
      <c r="Q12" s="6">
        <v>0.019999999999999574</v>
      </c>
      <c r="R12" s="6">
        <v>0</v>
      </c>
      <c r="S12" s="7">
        <v>0</v>
      </c>
    </row>
    <row r="13" spans="1:19" ht="12.75">
      <c r="A13" s="5" t="s">
        <v>11</v>
      </c>
      <c r="B13" s="6">
        <v>5.339999999999236</v>
      </c>
      <c r="C13" s="6">
        <v>0</v>
      </c>
      <c r="D13" s="7">
        <v>0</v>
      </c>
      <c r="E13" s="6">
        <v>68.13278399999876</v>
      </c>
      <c r="F13" s="6">
        <v>1.537084705312408</v>
      </c>
      <c r="G13" s="7">
        <v>0.015733615829203667</v>
      </c>
      <c r="H13" s="6">
        <v>12.370000000000504</v>
      </c>
      <c r="I13" s="6">
        <v>2.3864854221857215</v>
      </c>
      <c r="J13" s="7">
        <v>0</v>
      </c>
      <c r="K13" s="6">
        <v>17.79787920000004</v>
      </c>
      <c r="L13" s="6">
        <v>2.72541081321838</v>
      </c>
      <c r="M13" s="7">
        <v>0.028950210909442987</v>
      </c>
      <c r="N13" s="6">
        <v>1.4999999999999885</v>
      </c>
      <c r="O13" s="6">
        <v>0</v>
      </c>
      <c r="P13" s="7">
        <v>0</v>
      </c>
      <c r="Q13" s="6">
        <v>0.40999999999999925</v>
      </c>
      <c r="R13" s="6">
        <v>0</v>
      </c>
      <c r="S13" s="7">
        <v>0</v>
      </c>
    </row>
    <row r="14" spans="1:19" ht="12.75">
      <c r="A14" s="5" t="s">
        <v>12</v>
      </c>
      <c r="B14" s="6">
        <v>4.763920000000098</v>
      </c>
      <c r="C14" s="6">
        <v>0</v>
      </c>
      <c r="D14" s="7">
        <v>0</v>
      </c>
      <c r="E14" s="6">
        <v>33.378780000001484</v>
      </c>
      <c r="F14" s="6">
        <v>0.7530297341143569</v>
      </c>
      <c r="G14" s="7">
        <v>0</v>
      </c>
      <c r="H14" s="6">
        <v>0</v>
      </c>
      <c r="I14" s="6">
        <v>0</v>
      </c>
      <c r="J14" s="7">
        <v>0</v>
      </c>
      <c r="K14" s="6">
        <v>0</v>
      </c>
      <c r="L14" s="6">
        <v>0</v>
      </c>
      <c r="M14" s="7">
        <v>0</v>
      </c>
      <c r="N14" s="6">
        <v>0</v>
      </c>
      <c r="O14" s="6">
        <v>0</v>
      </c>
      <c r="P14" s="7">
        <v>0</v>
      </c>
      <c r="Q14" s="6">
        <v>0</v>
      </c>
      <c r="R14" s="6">
        <v>0</v>
      </c>
      <c r="S14" s="7">
        <v>0</v>
      </c>
    </row>
    <row r="15" spans="1:19" ht="12.75">
      <c r="A15" s="5" t="s">
        <v>13</v>
      </c>
      <c r="B15" s="6">
        <v>12.273400000002937</v>
      </c>
      <c r="C15" s="6">
        <v>1.1520055422118856</v>
      </c>
      <c r="D15" s="7">
        <v>0</v>
      </c>
      <c r="E15" s="6">
        <v>101.50700000000214</v>
      </c>
      <c r="F15" s="6">
        <v>2.290011474977343</v>
      </c>
      <c r="G15" s="7">
        <v>0.023440582465777994</v>
      </c>
      <c r="H15" s="6">
        <v>5.6633999999991245</v>
      </c>
      <c r="I15" s="6">
        <v>0</v>
      </c>
      <c r="J15" s="7">
        <v>0</v>
      </c>
      <c r="K15" s="6">
        <v>11.36339999999917</v>
      </c>
      <c r="L15" s="6">
        <v>1.7400912146276064</v>
      </c>
      <c r="M15" s="7">
        <v>0</v>
      </c>
      <c r="N15" s="6">
        <v>2.7299999999999898</v>
      </c>
      <c r="O15" s="6">
        <v>0</v>
      </c>
      <c r="P15" s="7">
        <v>0</v>
      </c>
      <c r="Q15" s="6">
        <v>0</v>
      </c>
      <c r="R15" s="6">
        <v>0</v>
      </c>
      <c r="S15" s="7">
        <v>0</v>
      </c>
    </row>
    <row r="16" spans="1:19" ht="12.75">
      <c r="A16" s="5" t="s">
        <v>14</v>
      </c>
      <c r="B16" s="6">
        <v>974.843520000004</v>
      </c>
      <c r="C16" s="6">
        <v>91.50073637533845</v>
      </c>
      <c r="D16" s="7">
        <v>1</v>
      </c>
      <c r="E16" s="6">
        <v>3740.587663999998</v>
      </c>
      <c r="F16" s="6">
        <v>84.38815720805962</v>
      </c>
      <c r="G16" s="7">
        <v>0.8637980987366581</v>
      </c>
      <c r="H16" s="6">
        <v>115.876928999999</v>
      </c>
      <c r="I16" s="6">
        <v>22.355586243018287</v>
      </c>
      <c r="J16" s="7">
        <v>0.23524031757886352</v>
      </c>
      <c r="K16" s="6">
        <v>87.86277900000626</v>
      </c>
      <c r="L16" s="6">
        <v>13.454533839404489</v>
      </c>
      <c r="M16" s="7">
        <v>0.1429184879027583</v>
      </c>
      <c r="N16" s="6">
        <v>8.368007999999666</v>
      </c>
      <c r="O16" s="6">
        <v>0</v>
      </c>
      <c r="P16" s="7">
        <v>0</v>
      </c>
      <c r="Q16" s="6">
        <v>0.5600000000000023</v>
      </c>
      <c r="R16" s="6">
        <v>0</v>
      </c>
      <c r="S16" s="7">
        <v>0</v>
      </c>
    </row>
    <row r="17" spans="1:19" ht="12.75">
      <c r="A17" s="5" t="s">
        <v>15</v>
      </c>
      <c r="B17" s="6">
        <v>8.150000000000205</v>
      </c>
      <c r="C17" s="6">
        <v>0</v>
      </c>
      <c r="D17" s="7">
        <v>0</v>
      </c>
      <c r="E17" s="6">
        <v>122.66300000000051</v>
      </c>
      <c r="F17" s="6">
        <v>2.767293660093797</v>
      </c>
      <c r="G17" s="7">
        <v>0.028326048124756687</v>
      </c>
      <c r="H17" s="6">
        <v>3.42</v>
      </c>
      <c r="I17" s="6">
        <v>0</v>
      </c>
      <c r="J17" s="7">
        <v>0</v>
      </c>
      <c r="K17" s="6">
        <v>4.60000000000012</v>
      </c>
      <c r="L17" s="6">
        <v>0</v>
      </c>
      <c r="M17" s="7">
        <v>0</v>
      </c>
      <c r="N17" s="6">
        <v>1.7065699999999868</v>
      </c>
      <c r="O17" s="6">
        <v>0</v>
      </c>
      <c r="P17" s="7">
        <v>0</v>
      </c>
      <c r="Q17" s="6">
        <v>0</v>
      </c>
      <c r="R17" s="6">
        <v>0</v>
      </c>
      <c r="S17" s="7">
        <v>0</v>
      </c>
    </row>
    <row r="18" spans="1:19" ht="12.75">
      <c r="A18" s="5" t="s">
        <v>16</v>
      </c>
      <c r="B18" s="6">
        <v>2.740494000000126</v>
      </c>
      <c r="C18" s="6">
        <v>0</v>
      </c>
      <c r="D18" s="7">
        <v>0</v>
      </c>
      <c r="E18" s="6">
        <v>35.53497400000019</v>
      </c>
      <c r="F18" s="6">
        <v>0.8016737586867926</v>
      </c>
      <c r="G18" s="7">
        <v>0</v>
      </c>
      <c r="H18" s="6">
        <v>4.73</v>
      </c>
      <c r="I18" s="6">
        <v>0</v>
      </c>
      <c r="J18" s="7">
        <v>0</v>
      </c>
      <c r="K18" s="6">
        <v>4.73</v>
      </c>
      <c r="L18" s="6">
        <v>0</v>
      </c>
      <c r="M18" s="7">
        <v>0</v>
      </c>
      <c r="N18" s="6">
        <v>5.3120800000004476</v>
      </c>
      <c r="O18" s="6">
        <v>0</v>
      </c>
      <c r="P18" s="7">
        <v>0</v>
      </c>
      <c r="Q18" s="6">
        <v>2.0900000000001455</v>
      </c>
      <c r="R18" s="6">
        <v>0</v>
      </c>
      <c r="S18" s="138">
        <v>1</v>
      </c>
    </row>
    <row r="19" spans="1:19" ht="12.75">
      <c r="A19" s="5" t="s">
        <v>17</v>
      </c>
      <c r="B19" s="6">
        <v>9.189505999999774</v>
      </c>
      <c r="C19" s="6">
        <v>0</v>
      </c>
      <c r="D19" s="7">
        <v>0</v>
      </c>
      <c r="E19" s="6">
        <v>223.30900799999844</v>
      </c>
      <c r="F19" s="6">
        <v>5.037881040576442</v>
      </c>
      <c r="G19" s="7">
        <v>0.05156780534716749</v>
      </c>
      <c r="H19" s="6">
        <v>13.375872999999727</v>
      </c>
      <c r="I19" s="6">
        <v>2.5805437286585</v>
      </c>
      <c r="J19" s="7">
        <v>0</v>
      </c>
      <c r="K19" s="6">
        <v>13.375872999999727</v>
      </c>
      <c r="L19" s="6">
        <v>2.0482636442680735</v>
      </c>
      <c r="M19" s="7">
        <v>0</v>
      </c>
      <c r="N19" s="6">
        <v>27.56804199999861</v>
      </c>
      <c r="O19" s="6">
        <v>4.8121312974894845</v>
      </c>
      <c r="P19" s="7">
        <v>0</v>
      </c>
      <c r="Q19" s="6">
        <v>0</v>
      </c>
      <c r="R19" s="6">
        <v>0</v>
      </c>
      <c r="S19" s="7">
        <v>0</v>
      </c>
    </row>
    <row r="20" spans="1:19" ht="12.75">
      <c r="A20" s="5" t="s">
        <v>18</v>
      </c>
      <c r="B20" s="6">
        <v>3.4299999999999358</v>
      </c>
      <c r="C20" s="6">
        <v>0</v>
      </c>
      <c r="D20" s="7">
        <v>0</v>
      </c>
      <c r="E20" s="6">
        <v>1.36</v>
      </c>
      <c r="F20" s="6">
        <v>0</v>
      </c>
      <c r="G20" s="7">
        <v>0</v>
      </c>
      <c r="H20" s="6">
        <v>2.65999999999999</v>
      </c>
      <c r="I20" s="6">
        <v>0</v>
      </c>
      <c r="J20" s="7">
        <v>0</v>
      </c>
      <c r="K20" s="6">
        <v>1.5100000000000127</v>
      </c>
      <c r="L20" s="6">
        <v>0</v>
      </c>
      <c r="M20" s="7">
        <v>0</v>
      </c>
      <c r="N20" s="6">
        <v>2.9599999999999476</v>
      </c>
      <c r="O20" s="6">
        <v>0</v>
      </c>
      <c r="P20" s="7">
        <v>0</v>
      </c>
      <c r="Q20" s="6">
        <v>0</v>
      </c>
      <c r="R20" s="6">
        <v>0</v>
      </c>
      <c r="S20" s="7">
        <v>0</v>
      </c>
    </row>
    <row r="21" spans="1:19" ht="12.75">
      <c r="A21" s="5" t="s">
        <v>19</v>
      </c>
      <c r="B21" s="6">
        <v>0</v>
      </c>
      <c r="C21" s="6">
        <v>0</v>
      </c>
      <c r="D21" s="7">
        <v>0</v>
      </c>
      <c r="E21" s="6">
        <v>0.3900000000000148</v>
      </c>
      <c r="F21" s="6">
        <v>0</v>
      </c>
      <c r="G21" s="7">
        <v>0</v>
      </c>
      <c r="H21" s="6">
        <v>0.2699999999999818</v>
      </c>
      <c r="I21" s="6">
        <v>0</v>
      </c>
      <c r="J21" s="7">
        <v>0</v>
      </c>
      <c r="K21" s="6">
        <v>0.06999999999999318</v>
      </c>
      <c r="L21" s="6">
        <v>0</v>
      </c>
      <c r="M21" s="7">
        <v>0</v>
      </c>
      <c r="N21" s="6">
        <v>0.3900000000000148</v>
      </c>
      <c r="O21" s="6">
        <v>0</v>
      </c>
      <c r="P21" s="7">
        <v>0</v>
      </c>
      <c r="Q21" s="6">
        <v>0</v>
      </c>
      <c r="R21" s="6">
        <v>0</v>
      </c>
      <c r="S21" s="7">
        <v>0</v>
      </c>
    </row>
    <row r="22" spans="1:19" ht="12.75">
      <c r="A22" s="2" t="s">
        <v>20</v>
      </c>
      <c r="B22" s="8">
        <v>1065.3941800000057</v>
      </c>
      <c r="C22" s="8">
        <v>100</v>
      </c>
      <c r="D22" s="9">
        <v>1</v>
      </c>
      <c r="E22" s="8">
        <v>4432.597876000007</v>
      </c>
      <c r="F22" s="8">
        <v>100</v>
      </c>
      <c r="G22" s="9">
        <v>1</v>
      </c>
      <c r="H22" s="8">
        <v>518.3354520000015</v>
      </c>
      <c r="I22" s="8">
        <v>100</v>
      </c>
      <c r="J22" s="9">
        <v>1</v>
      </c>
      <c r="K22" s="8">
        <v>653.0347320000136</v>
      </c>
      <c r="L22" s="8">
        <v>100</v>
      </c>
      <c r="M22" s="9">
        <v>1</v>
      </c>
      <c r="N22" s="8">
        <v>572.8863220000046</v>
      </c>
      <c r="O22" s="8">
        <v>100</v>
      </c>
      <c r="P22" s="9">
        <v>1</v>
      </c>
      <c r="Q22" s="8">
        <v>0</v>
      </c>
      <c r="R22" s="8">
        <v>0</v>
      </c>
      <c r="S22" s="9">
        <f>SUM(S7:S21)</f>
        <v>1</v>
      </c>
    </row>
    <row r="23" spans="1:16" s="14" customFormat="1" ht="12.75">
      <c r="A23" s="11"/>
      <c r="B23" s="12"/>
      <c r="C23" s="12"/>
      <c r="D23" s="13"/>
      <c r="E23" s="12"/>
      <c r="F23" s="12"/>
      <c r="G23" s="13"/>
      <c r="H23" s="12"/>
      <c r="I23" s="12"/>
      <c r="J23" s="13"/>
      <c r="K23" s="12"/>
      <c r="L23" s="12"/>
      <c r="M23" s="13"/>
      <c r="N23" s="12"/>
      <c r="O23" s="12"/>
      <c r="P23" s="13"/>
    </row>
    <row r="24" ht="20.25">
      <c r="A24" s="15">
        <v>2007</v>
      </c>
    </row>
    <row r="26" spans="2:23" ht="13.5" thickBot="1">
      <c r="B26" s="10" t="s">
        <v>26</v>
      </c>
      <c r="E26" s="10" t="s">
        <v>27</v>
      </c>
      <c r="H26" s="10" t="s">
        <v>29</v>
      </c>
      <c r="K26" s="10" t="s">
        <v>30</v>
      </c>
      <c r="N26" s="10" t="s">
        <v>31</v>
      </c>
      <c r="Q26" s="10" t="s">
        <v>32</v>
      </c>
      <c r="T26" s="10" t="s">
        <v>402</v>
      </c>
      <c r="W26" s="10" t="s">
        <v>438</v>
      </c>
    </row>
    <row r="27" spans="1:25" ht="13.5" thickBot="1">
      <c r="A27" s="1"/>
      <c r="B27" s="187" t="s">
        <v>0</v>
      </c>
      <c r="C27" s="188"/>
      <c r="D27" s="189"/>
      <c r="E27" s="187" t="s">
        <v>0</v>
      </c>
      <c r="F27" s="188"/>
      <c r="G27" s="189"/>
      <c r="H27" s="187" t="s">
        <v>0</v>
      </c>
      <c r="I27" s="188"/>
      <c r="J27" s="189"/>
      <c r="K27" s="187" t="s">
        <v>0</v>
      </c>
      <c r="L27" s="188"/>
      <c r="M27" s="189"/>
      <c r="N27" s="187" t="s">
        <v>0</v>
      </c>
      <c r="O27" s="188"/>
      <c r="P27" s="189"/>
      <c r="Q27" s="187" t="s">
        <v>0</v>
      </c>
      <c r="R27" s="188"/>
      <c r="S27" s="189"/>
      <c r="T27" s="187" t="s">
        <v>0</v>
      </c>
      <c r="U27" s="188"/>
      <c r="V27" s="189"/>
      <c r="W27" s="187" t="s">
        <v>0</v>
      </c>
      <c r="X27" s="188"/>
      <c r="Y27" s="189"/>
    </row>
    <row r="28" spans="1:25" ht="12.75">
      <c r="A28" s="2" t="s">
        <v>1</v>
      </c>
      <c r="B28" s="3" t="s">
        <v>2</v>
      </c>
      <c r="C28" s="3" t="s">
        <v>3</v>
      </c>
      <c r="D28" s="4" t="s">
        <v>4</v>
      </c>
      <c r="E28" s="3" t="s">
        <v>2</v>
      </c>
      <c r="F28" s="3" t="s">
        <v>3</v>
      </c>
      <c r="G28" s="4" t="s">
        <v>4</v>
      </c>
      <c r="H28" s="3" t="s">
        <v>2</v>
      </c>
      <c r="I28" s="3" t="s">
        <v>28</v>
      </c>
      <c r="J28" s="4" t="s">
        <v>4</v>
      </c>
      <c r="K28" s="3" t="s">
        <v>2</v>
      </c>
      <c r="L28" s="3" t="s">
        <v>3</v>
      </c>
      <c r="M28" s="4" t="s">
        <v>4</v>
      </c>
      <c r="N28" s="3" t="s">
        <v>2</v>
      </c>
      <c r="O28" s="3" t="s">
        <v>3</v>
      </c>
      <c r="P28" s="4" t="s">
        <v>4</v>
      </c>
      <c r="Q28" s="3" t="s">
        <v>2</v>
      </c>
      <c r="R28" s="3" t="s">
        <v>3</v>
      </c>
      <c r="S28" s="4" t="s">
        <v>4</v>
      </c>
      <c r="T28" s="3" t="s">
        <v>2</v>
      </c>
      <c r="U28" s="3" t="s">
        <v>3</v>
      </c>
      <c r="V28" s="4" t="s">
        <v>4</v>
      </c>
      <c r="W28" s="3" t="s">
        <v>2</v>
      </c>
      <c r="X28" s="3" t="s">
        <v>3</v>
      </c>
      <c r="Y28" s="4" t="s">
        <v>4</v>
      </c>
    </row>
    <row r="29" spans="1:25" ht="12.75">
      <c r="A29" s="5" t="s">
        <v>5</v>
      </c>
      <c r="B29" s="6">
        <v>0</v>
      </c>
      <c r="C29" s="6">
        <v>0</v>
      </c>
      <c r="D29" s="7">
        <v>0</v>
      </c>
      <c r="E29" s="6">
        <v>0</v>
      </c>
      <c r="F29" s="6">
        <v>0</v>
      </c>
      <c r="G29" s="7">
        <v>0</v>
      </c>
      <c r="H29" s="6">
        <v>0</v>
      </c>
      <c r="I29" s="6">
        <v>0</v>
      </c>
      <c r="J29" s="7">
        <v>0</v>
      </c>
      <c r="K29" s="6">
        <v>1.509999999999991</v>
      </c>
      <c r="L29" s="6">
        <v>0</v>
      </c>
      <c r="M29" s="7">
        <v>0</v>
      </c>
      <c r="N29" s="6">
        <v>5.399999999999636</v>
      </c>
      <c r="O29" s="6">
        <v>0</v>
      </c>
      <c r="P29" s="7">
        <v>0</v>
      </c>
      <c r="Q29" s="6">
        <v>8.32000000000084</v>
      </c>
      <c r="R29" s="6">
        <v>0</v>
      </c>
      <c r="S29" s="7">
        <v>0</v>
      </c>
      <c r="T29" s="6">
        <v>5.850000000000136</v>
      </c>
      <c r="U29" s="6">
        <v>0</v>
      </c>
      <c r="V29" s="7">
        <v>0</v>
      </c>
      <c r="W29" s="6">
        <v>12.495360000000119</v>
      </c>
      <c r="X29" s="6">
        <v>0.20920298254431494</v>
      </c>
      <c r="Y29" s="7">
        <v>0</v>
      </c>
    </row>
    <row r="30" spans="1:25" ht="12.75">
      <c r="A30" s="5" t="s">
        <v>6</v>
      </c>
      <c r="B30" s="6">
        <v>2.23</v>
      </c>
      <c r="C30" s="6">
        <v>0</v>
      </c>
      <c r="D30" s="7">
        <v>0</v>
      </c>
      <c r="E30" s="6">
        <v>2.23</v>
      </c>
      <c r="F30" s="6">
        <v>0</v>
      </c>
      <c r="G30" s="7">
        <v>0</v>
      </c>
      <c r="H30" s="6">
        <v>5.730000000000018</v>
      </c>
      <c r="I30" s="6">
        <v>0</v>
      </c>
      <c r="J30" s="7">
        <v>0</v>
      </c>
      <c r="K30" s="6">
        <v>12.57999999999987</v>
      </c>
      <c r="L30" s="6">
        <v>0.9890611954568695</v>
      </c>
      <c r="M30" s="7">
        <v>0</v>
      </c>
      <c r="N30" s="6">
        <v>167.28280000000095</v>
      </c>
      <c r="O30" s="6">
        <v>11.211244513096409</v>
      </c>
      <c r="P30" s="7">
        <v>0.11366675839762971</v>
      </c>
      <c r="Q30" s="6">
        <v>442.41840000000025</v>
      </c>
      <c r="R30" s="6">
        <v>14.94033384450361</v>
      </c>
      <c r="S30" s="7">
        <v>0.16273532580793512</v>
      </c>
      <c r="T30" s="6">
        <v>2.23</v>
      </c>
      <c r="U30" s="6">
        <v>0</v>
      </c>
      <c r="V30" s="7">
        <v>0</v>
      </c>
      <c r="W30" s="6">
        <v>9.149999999999459</v>
      </c>
      <c r="X30" s="6">
        <v>0</v>
      </c>
      <c r="Y30" s="7">
        <v>0</v>
      </c>
    </row>
    <row r="31" spans="1:25" ht="12.75">
      <c r="A31" s="5" t="s">
        <v>7</v>
      </c>
      <c r="B31" s="6">
        <v>8.828072000005236</v>
      </c>
      <c r="C31" s="6">
        <v>0</v>
      </c>
      <c r="D31" s="7">
        <v>0</v>
      </c>
      <c r="E31" s="6">
        <v>8.828072000005236</v>
      </c>
      <c r="F31" s="6">
        <v>0</v>
      </c>
      <c r="G31" s="7">
        <v>0</v>
      </c>
      <c r="H31" s="6">
        <v>0.6172999999999433</v>
      </c>
      <c r="I31" s="6">
        <v>0</v>
      </c>
      <c r="J31" s="7">
        <v>0</v>
      </c>
      <c r="K31" s="6">
        <v>39.215220799993745</v>
      </c>
      <c r="L31" s="6">
        <v>3.0831679781039196</v>
      </c>
      <c r="M31" s="7">
        <v>0.0319828129743006</v>
      </c>
      <c r="N31" s="6">
        <v>158.0373999999992</v>
      </c>
      <c r="O31" s="6">
        <v>10.59162049902323</v>
      </c>
      <c r="P31" s="7">
        <v>0.1073846143392469</v>
      </c>
      <c r="Q31" s="6">
        <v>196.06796999999364</v>
      </c>
      <c r="R31" s="6">
        <v>6.621155286520681</v>
      </c>
      <c r="S31" s="7">
        <v>0.07211993212409201</v>
      </c>
      <c r="T31" s="6">
        <v>15.628972000004438</v>
      </c>
      <c r="U31" s="6">
        <v>5.73372832013936</v>
      </c>
      <c r="V31" s="7">
        <v>0.0573372832013936</v>
      </c>
      <c r="W31" s="6">
        <v>25.455830000002713</v>
      </c>
      <c r="X31" s="6">
        <v>0.42619304759059085</v>
      </c>
      <c r="Y31" s="7">
        <v>0</v>
      </c>
    </row>
    <row r="32" spans="1:25" ht="12.75">
      <c r="A32" s="5" t="s">
        <v>8</v>
      </c>
      <c r="B32" s="6">
        <v>0.20000000000004547</v>
      </c>
      <c r="C32" s="6">
        <v>0</v>
      </c>
      <c r="D32" s="7">
        <v>0</v>
      </c>
      <c r="E32" s="6">
        <v>0.20000000000004547</v>
      </c>
      <c r="F32" s="6">
        <v>0</v>
      </c>
      <c r="G32" s="7">
        <v>0</v>
      </c>
      <c r="H32" s="6">
        <v>5.23269999999907</v>
      </c>
      <c r="I32" s="6">
        <v>0</v>
      </c>
      <c r="J32" s="7">
        <v>0</v>
      </c>
      <c r="K32" s="6">
        <v>6.97000000000039</v>
      </c>
      <c r="L32" s="6">
        <v>0</v>
      </c>
      <c r="M32" s="7">
        <v>0</v>
      </c>
      <c r="N32" s="6">
        <v>594.8288000000005</v>
      </c>
      <c r="O32" s="6">
        <v>39.86525285463711</v>
      </c>
      <c r="P32" s="7">
        <v>0.40417939858462243</v>
      </c>
      <c r="Q32" s="6">
        <v>1700.4736000000025</v>
      </c>
      <c r="R32" s="6">
        <v>57.424472575654434</v>
      </c>
      <c r="S32" s="7">
        <v>0.6254873787432724</v>
      </c>
      <c r="T32" s="6">
        <v>3.7332000000008065</v>
      </c>
      <c r="U32" s="6">
        <v>0</v>
      </c>
      <c r="V32" s="7">
        <v>0</v>
      </c>
      <c r="W32" s="6">
        <v>8.503200000000842</v>
      </c>
      <c r="X32" s="6">
        <v>0</v>
      </c>
      <c r="Y32" s="7">
        <v>0</v>
      </c>
    </row>
    <row r="33" spans="1:25" ht="12.75">
      <c r="A33" s="5" t="s">
        <v>9</v>
      </c>
      <c r="B33" s="6">
        <v>0.6500000000000341</v>
      </c>
      <c r="C33" s="6">
        <v>0</v>
      </c>
      <c r="D33" s="7">
        <v>0</v>
      </c>
      <c r="E33" s="6">
        <v>0.6500000000000341</v>
      </c>
      <c r="F33" s="6">
        <v>0</v>
      </c>
      <c r="G33" s="7">
        <v>0</v>
      </c>
      <c r="H33" s="6">
        <v>0</v>
      </c>
      <c r="I33" s="6">
        <v>0</v>
      </c>
      <c r="J33" s="7">
        <v>0</v>
      </c>
      <c r="K33" s="6">
        <v>1091.0011000000022</v>
      </c>
      <c r="L33" s="6">
        <v>85.77637934902806</v>
      </c>
      <c r="M33" s="7">
        <v>0.8897893069127347</v>
      </c>
      <c r="N33" s="6">
        <v>274.8725999999977</v>
      </c>
      <c r="O33" s="6">
        <v>18.421881559553647</v>
      </c>
      <c r="P33" s="7">
        <v>0.1867728027886183</v>
      </c>
      <c r="Q33" s="6">
        <v>379.67777999999515</v>
      </c>
      <c r="R33" s="6">
        <v>12.821602326078482</v>
      </c>
      <c r="S33" s="7">
        <v>0.13965736332470055</v>
      </c>
      <c r="T33" s="6">
        <v>11.781520000001555</v>
      </c>
      <c r="U33" s="6">
        <v>4.322231486388101</v>
      </c>
      <c r="V33" s="7">
        <v>0.043222314863881006</v>
      </c>
      <c r="W33" s="6">
        <v>69.02423000000461</v>
      </c>
      <c r="X33" s="6">
        <v>1.1556349544011222</v>
      </c>
      <c r="Y33" s="7">
        <v>0</v>
      </c>
    </row>
    <row r="34" spans="1:25" ht="12.75">
      <c r="A34" s="5" t="s">
        <v>10</v>
      </c>
      <c r="B34" s="6">
        <v>1.099999999999909</v>
      </c>
      <c r="C34" s="6">
        <v>0</v>
      </c>
      <c r="D34" s="7">
        <v>0</v>
      </c>
      <c r="E34" s="6">
        <v>1.099999999999909</v>
      </c>
      <c r="F34" s="6">
        <v>0</v>
      </c>
      <c r="G34" s="7">
        <v>0</v>
      </c>
      <c r="H34" s="6">
        <v>0</v>
      </c>
      <c r="I34" s="6">
        <v>0</v>
      </c>
      <c r="J34" s="7">
        <v>0</v>
      </c>
      <c r="K34" s="6">
        <v>41.370000000000815</v>
      </c>
      <c r="L34" s="6">
        <v>3.252580417810169</v>
      </c>
      <c r="M34" s="7">
        <v>0.03374018928760062</v>
      </c>
      <c r="N34" s="6">
        <v>9.299999999999969</v>
      </c>
      <c r="O34" s="6">
        <v>0</v>
      </c>
      <c r="P34" s="7">
        <v>0</v>
      </c>
      <c r="Q34" s="6">
        <v>16.080000000000506</v>
      </c>
      <c r="R34" s="6">
        <v>0.543016674305647</v>
      </c>
      <c r="S34" s="7">
        <v>0</v>
      </c>
      <c r="T34" s="6">
        <v>1.099999999999909</v>
      </c>
      <c r="U34" s="6">
        <v>0</v>
      </c>
      <c r="V34" s="7">
        <v>0</v>
      </c>
      <c r="W34" s="6">
        <v>10.549999999999947</v>
      </c>
      <c r="X34" s="6">
        <v>0.176632883393715</v>
      </c>
      <c r="Y34" s="7">
        <v>0</v>
      </c>
    </row>
    <row r="35" spans="1:25" ht="12.75">
      <c r="A35" s="5" t="s">
        <v>11</v>
      </c>
      <c r="B35" s="6">
        <v>34.71192800000122</v>
      </c>
      <c r="C35" s="6">
        <v>100</v>
      </c>
      <c r="D35" s="7">
        <v>1</v>
      </c>
      <c r="E35" s="6">
        <v>42.6119280000013</v>
      </c>
      <c r="F35" s="6">
        <v>100</v>
      </c>
      <c r="G35" s="7">
        <v>1</v>
      </c>
      <c r="H35" s="6">
        <v>0</v>
      </c>
      <c r="I35" s="6">
        <v>0</v>
      </c>
      <c r="J35" s="7">
        <v>0</v>
      </c>
      <c r="K35" s="6">
        <v>54.54787920000514</v>
      </c>
      <c r="L35" s="6">
        <v>4.288647902320712</v>
      </c>
      <c r="M35" s="7">
        <v>0.044487690825364024</v>
      </c>
      <c r="N35" s="6">
        <v>32.7900000000068</v>
      </c>
      <c r="O35" s="6">
        <v>2.1975762456421424</v>
      </c>
      <c r="P35" s="7">
        <v>0.022280431747071606</v>
      </c>
      <c r="Q35" s="6">
        <v>35.77000000001142</v>
      </c>
      <c r="R35" s="6">
        <v>1.2079419427810065</v>
      </c>
      <c r="S35" s="7">
        <v>0</v>
      </c>
      <c r="T35" s="6">
        <v>21.35192800000113</v>
      </c>
      <c r="U35" s="6">
        <v>7.833282589740917</v>
      </c>
      <c r="V35" s="7">
        <v>0.07833282589740917</v>
      </c>
      <c r="W35" s="6">
        <v>0.19999999999998863</v>
      </c>
      <c r="X35" s="6">
        <v>0</v>
      </c>
      <c r="Y35" s="7">
        <v>0</v>
      </c>
    </row>
    <row r="36" spans="1:25" ht="12.75">
      <c r="A36" s="5" t="s">
        <v>12</v>
      </c>
      <c r="B36" s="6">
        <v>0</v>
      </c>
      <c r="C36" s="6">
        <v>0</v>
      </c>
      <c r="D36" s="7">
        <v>0</v>
      </c>
      <c r="E36" s="6">
        <v>0</v>
      </c>
      <c r="F36" s="6">
        <v>0</v>
      </c>
      <c r="G36" s="7">
        <v>0</v>
      </c>
      <c r="H36" s="6">
        <v>0</v>
      </c>
      <c r="I36" s="6">
        <v>0</v>
      </c>
      <c r="J36" s="7">
        <v>0</v>
      </c>
      <c r="K36" s="6">
        <v>7.824389999999312</v>
      </c>
      <c r="L36" s="6">
        <v>0</v>
      </c>
      <c r="M36" s="7">
        <v>0</v>
      </c>
      <c r="N36" s="6">
        <v>2.7500000000000995</v>
      </c>
      <c r="O36" s="6">
        <v>0</v>
      </c>
      <c r="P36" s="7">
        <v>0</v>
      </c>
      <c r="Q36" s="6">
        <v>0</v>
      </c>
      <c r="R36" s="6">
        <v>0</v>
      </c>
      <c r="S36" s="7">
        <v>0</v>
      </c>
      <c r="T36" s="6">
        <v>0.46999999999999353</v>
      </c>
      <c r="U36" s="6">
        <v>0</v>
      </c>
      <c r="V36" s="7">
        <v>0</v>
      </c>
      <c r="W36" s="6">
        <v>8.059999999999832</v>
      </c>
      <c r="X36" s="6">
        <v>0</v>
      </c>
      <c r="Y36" s="7">
        <v>0</v>
      </c>
    </row>
    <row r="37" spans="1:25" ht="12.75">
      <c r="A37" s="5" t="s">
        <v>13</v>
      </c>
      <c r="B37" s="6">
        <v>0</v>
      </c>
      <c r="C37" s="6">
        <v>0</v>
      </c>
      <c r="D37" s="7">
        <v>0</v>
      </c>
      <c r="E37" s="6">
        <v>0</v>
      </c>
      <c r="F37" s="6">
        <v>0</v>
      </c>
      <c r="G37" s="7">
        <v>0</v>
      </c>
      <c r="H37" s="6">
        <v>0</v>
      </c>
      <c r="I37" s="6">
        <v>0</v>
      </c>
      <c r="J37" s="7">
        <v>0</v>
      </c>
      <c r="K37" s="6">
        <v>10.973399999998037</v>
      </c>
      <c r="L37" s="6">
        <v>0.8627475454868507</v>
      </c>
      <c r="M37" s="7">
        <v>0</v>
      </c>
      <c r="N37" s="6">
        <v>10.303399999998163</v>
      </c>
      <c r="O37" s="6">
        <v>0.6905308657926356</v>
      </c>
      <c r="P37" s="7">
        <v>0</v>
      </c>
      <c r="Q37" s="6">
        <v>5.699999999999818</v>
      </c>
      <c r="R37" s="6">
        <v>0</v>
      </c>
      <c r="S37" s="7">
        <v>0</v>
      </c>
      <c r="T37" s="6">
        <v>0.4499999999999993</v>
      </c>
      <c r="U37" s="6">
        <v>0</v>
      </c>
      <c r="V37" s="7">
        <v>0</v>
      </c>
      <c r="W37" s="6">
        <v>86.92700000000082</v>
      </c>
      <c r="X37" s="6">
        <v>1.455371246897221</v>
      </c>
      <c r="Y37" s="7">
        <v>0</v>
      </c>
    </row>
    <row r="38" spans="1:25" ht="12.75">
      <c r="A38" s="5" t="s">
        <v>14</v>
      </c>
      <c r="B38" s="6">
        <v>0.3900000000000148</v>
      </c>
      <c r="C38" s="6">
        <v>0</v>
      </c>
      <c r="D38" s="7">
        <v>0</v>
      </c>
      <c r="E38" s="6">
        <v>0.4900000000000091</v>
      </c>
      <c r="F38" s="6">
        <v>0</v>
      </c>
      <c r="G38" s="7">
        <v>0</v>
      </c>
      <c r="H38" s="6">
        <v>9.34000000000026</v>
      </c>
      <c r="I38" s="6">
        <v>0</v>
      </c>
      <c r="J38" s="7">
        <v>0</v>
      </c>
      <c r="K38" s="6">
        <v>22.22561000000283</v>
      </c>
      <c r="L38" s="6">
        <v>1.7474156117934165</v>
      </c>
      <c r="M38" s="7">
        <v>0</v>
      </c>
      <c r="N38" s="6">
        <v>64.0234000000066</v>
      </c>
      <c r="O38" s="6">
        <v>4.290829612846309</v>
      </c>
      <c r="P38" s="7">
        <v>0.04350317151312338</v>
      </c>
      <c r="Q38" s="6">
        <v>77.43086799999956</v>
      </c>
      <c r="R38" s="6">
        <v>2.614816693405347</v>
      </c>
      <c r="S38" s="7">
        <v>0</v>
      </c>
      <c r="T38" s="6">
        <v>151.3682549999985</v>
      </c>
      <c r="U38" s="6">
        <v>55.53176820991945</v>
      </c>
      <c r="V38" s="7">
        <v>0.5553176820991945</v>
      </c>
      <c r="W38" s="6">
        <v>4856.126049000006</v>
      </c>
      <c r="X38" s="6">
        <v>81.30346409082505</v>
      </c>
      <c r="Y38" s="7">
        <v>0.8656682680600539</v>
      </c>
    </row>
    <row r="39" spans="1:25" ht="12.75">
      <c r="A39" s="5" t="s">
        <v>15</v>
      </c>
      <c r="B39" s="6">
        <v>0</v>
      </c>
      <c r="C39" s="6">
        <v>0</v>
      </c>
      <c r="D39" s="7">
        <v>0</v>
      </c>
      <c r="E39" s="6">
        <v>0</v>
      </c>
      <c r="F39" s="6">
        <v>0</v>
      </c>
      <c r="G39" s="7">
        <v>0</v>
      </c>
      <c r="H39" s="6">
        <v>0</v>
      </c>
      <c r="I39" s="6">
        <v>0</v>
      </c>
      <c r="J39" s="7">
        <v>0</v>
      </c>
      <c r="K39" s="6">
        <v>2.34</v>
      </c>
      <c r="L39" s="6">
        <v>0</v>
      </c>
      <c r="M39" s="7">
        <v>0</v>
      </c>
      <c r="N39" s="6">
        <v>4.380000000000129</v>
      </c>
      <c r="O39" s="6">
        <v>0</v>
      </c>
      <c r="P39" s="7">
        <v>0</v>
      </c>
      <c r="Q39" s="6">
        <v>22.199999999999754</v>
      </c>
      <c r="R39" s="6">
        <v>0.7496871996010479</v>
      </c>
      <c r="S39" s="7">
        <v>0</v>
      </c>
      <c r="T39" s="6">
        <v>58.63526000000086</v>
      </c>
      <c r="U39" s="6">
        <v>21.511245321870437</v>
      </c>
      <c r="V39" s="7">
        <v>0.21511245321870437</v>
      </c>
      <c r="W39" s="6">
        <v>49.46000000000063</v>
      </c>
      <c r="X39" s="6">
        <v>0.8280817452751943</v>
      </c>
      <c r="Y39" s="7">
        <v>0</v>
      </c>
    </row>
    <row r="40" spans="1:25" ht="12.75">
      <c r="A40" s="5" t="s">
        <v>16</v>
      </c>
      <c r="B40" s="6">
        <v>0</v>
      </c>
      <c r="C40" s="6">
        <v>0</v>
      </c>
      <c r="D40" s="7">
        <v>0</v>
      </c>
      <c r="E40" s="6">
        <v>0</v>
      </c>
      <c r="F40" s="6">
        <v>0</v>
      </c>
      <c r="G40" s="7">
        <v>0</v>
      </c>
      <c r="H40" s="6">
        <v>0</v>
      </c>
      <c r="I40" s="6">
        <v>0</v>
      </c>
      <c r="J40" s="7">
        <v>0</v>
      </c>
      <c r="K40" s="6">
        <v>0</v>
      </c>
      <c r="L40" s="6">
        <v>0</v>
      </c>
      <c r="M40" s="7">
        <v>0</v>
      </c>
      <c r="N40" s="6">
        <v>5.610000000000113</v>
      </c>
      <c r="O40" s="6">
        <v>0</v>
      </c>
      <c r="P40" s="7">
        <v>0</v>
      </c>
      <c r="Q40" s="6">
        <v>13.270636000000366</v>
      </c>
      <c r="R40" s="6">
        <v>0.44814531260203766</v>
      </c>
      <c r="S40" s="7">
        <v>0</v>
      </c>
      <c r="T40" s="6">
        <v>4.896000000000242</v>
      </c>
      <c r="U40" s="6">
        <v>0</v>
      </c>
      <c r="V40" s="7">
        <v>0</v>
      </c>
      <c r="W40" s="6">
        <v>109.24314400000036</v>
      </c>
      <c r="X40" s="6">
        <v>1.8289982479350688</v>
      </c>
      <c r="Y40" s="7">
        <v>0</v>
      </c>
    </row>
    <row r="41" spans="1:25" ht="12.75">
      <c r="A41" s="5" t="s">
        <v>17</v>
      </c>
      <c r="B41" s="6">
        <v>0</v>
      </c>
      <c r="C41" s="6">
        <v>0</v>
      </c>
      <c r="D41" s="7">
        <v>0</v>
      </c>
      <c r="E41" s="6">
        <v>0.10999999999999943</v>
      </c>
      <c r="F41" s="6">
        <v>0</v>
      </c>
      <c r="G41" s="7">
        <v>0</v>
      </c>
      <c r="H41" s="6">
        <v>3.0800000000017462</v>
      </c>
      <c r="I41" s="6">
        <v>0</v>
      </c>
      <c r="J41" s="7">
        <v>0</v>
      </c>
      <c r="K41" s="6">
        <v>3.0800000000017462</v>
      </c>
      <c r="L41" s="6">
        <v>0</v>
      </c>
      <c r="M41" s="7">
        <v>0</v>
      </c>
      <c r="N41" s="6">
        <v>10.100000000005451</v>
      </c>
      <c r="O41" s="6">
        <v>0.6768990570598663</v>
      </c>
      <c r="P41" s="7">
        <v>0</v>
      </c>
      <c r="Q41" s="6">
        <v>32.20276999999905</v>
      </c>
      <c r="R41" s="6">
        <v>1.0874776784097384</v>
      </c>
      <c r="S41" s="7">
        <v>0</v>
      </c>
      <c r="T41" s="6">
        <v>13.8136349999996</v>
      </c>
      <c r="U41" s="6">
        <v>5.067744071941743</v>
      </c>
      <c r="V41" s="7">
        <v>0.050677440719417426</v>
      </c>
      <c r="W41" s="6">
        <v>753.5586629999983</v>
      </c>
      <c r="X41" s="6">
        <v>12.616420801137739</v>
      </c>
      <c r="Y41" s="7">
        <v>0.1343317319399461</v>
      </c>
    </row>
    <row r="42" spans="1:25" ht="12.75">
      <c r="A42" s="5" t="s">
        <v>18</v>
      </c>
      <c r="B42" s="6">
        <v>0</v>
      </c>
      <c r="C42" s="6">
        <v>0</v>
      </c>
      <c r="D42" s="7">
        <v>0</v>
      </c>
      <c r="E42" s="6">
        <v>0</v>
      </c>
      <c r="F42" s="6">
        <v>0</v>
      </c>
      <c r="G42" s="7">
        <v>0</v>
      </c>
      <c r="H42" s="6">
        <v>34.49</v>
      </c>
      <c r="I42" s="6">
        <v>100</v>
      </c>
      <c r="J42" s="7">
        <v>1</v>
      </c>
      <c r="K42" s="6">
        <v>0</v>
      </c>
      <c r="L42" s="6">
        <v>0</v>
      </c>
      <c r="M42" s="7">
        <v>0</v>
      </c>
      <c r="N42" s="6">
        <v>138.1633599999996</v>
      </c>
      <c r="O42" s="6">
        <v>9.259668129125952</v>
      </c>
      <c r="P42" s="7">
        <v>0.09388043038808894</v>
      </c>
      <c r="Q42" s="6">
        <v>31.723010000000407</v>
      </c>
      <c r="R42" s="6">
        <v>1.0712763301719193</v>
      </c>
      <c r="S42" s="7">
        <v>0</v>
      </c>
      <c r="T42" s="6">
        <v>0</v>
      </c>
      <c r="U42" s="6">
        <v>0</v>
      </c>
      <c r="V42" s="7">
        <v>0</v>
      </c>
      <c r="W42" s="6">
        <v>4.0499999999999545</v>
      </c>
      <c r="X42" s="6">
        <v>0</v>
      </c>
      <c r="Y42" s="7">
        <v>0</v>
      </c>
    </row>
    <row r="43" spans="1:25" ht="12.75">
      <c r="A43" s="5" t="s">
        <v>19</v>
      </c>
      <c r="B43" s="6">
        <v>0</v>
      </c>
      <c r="C43" s="6">
        <v>0</v>
      </c>
      <c r="D43" s="7">
        <v>0</v>
      </c>
      <c r="E43" s="6">
        <v>0</v>
      </c>
      <c r="F43" s="6">
        <v>0</v>
      </c>
      <c r="G43" s="7">
        <v>0</v>
      </c>
      <c r="H43" s="6">
        <v>2.9600000000000364</v>
      </c>
      <c r="I43" s="6">
        <v>0</v>
      </c>
      <c r="J43" s="7">
        <v>0</v>
      </c>
      <c r="K43" s="6">
        <v>0</v>
      </c>
      <c r="L43" s="6">
        <v>0</v>
      </c>
      <c r="M43" s="7">
        <v>0</v>
      </c>
      <c r="N43" s="6">
        <v>41.69663999999993</v>
      </c>
      <c r="O43" s="6">
        <v>2.7944966632227155</v>
      </c>
      <c r="P43" s="7">
        <v>0.02833239224159871</v>
      </c>
      <c r="Q43" s="6">
        <v>13.920000000000101</v>
      </c>
      <c r="R43" s="6">
        <v>0.47007413596607106</v>
      </c>
      <c r="S43" s="7">
        <v>0</v>
      </c>
      <c r="T43" s="6">
        <v>0</v>
      </c>
      <c r="U43" s="6">
        <v>0</v>
      </c>
      <c r="V43" s="7">
        <v>0</v>
      </c>
      <c r="W43" s="6">
        <v>0.5400000000000063</v>
      </c>
      <c r="X43" s="6">
        <v>0</v>
      </c>
      <c r="Y43" s="7">
        <v>0</v>
      </c>
    </row>
    <row r="44" spans="1:25" ht="12.75">
      <c r="A44" s="2" t="s">
        <v>20</v>
      </c>
      <c r="B44" s="8">
        <v>34.71192800000122</v>
      </c>
      <c r="C44" s="8">
        <v>100</v>
      </c>
      <c r="D44" s="9">
        <v>1</v>
      </c>
      <c r="E44" s="8">
        <v>42.6119280000013</v>
      </c>
      <c r="F44" s="8">
        <v>100</v>
      </c>
      <c r="G44" s="9">
        <v>1</v>
      </c>
      <c r="H44" s="8">
        <v>34.49</v>
      </c>
      <c r="I44" s="8">
        <v>100</v>
      </c>
      <c r="J44" s="9">
        <v>1</v>
      </c>
      <c r="K44" s="8">
        <v>1271.9132100000027</v>
      </c>
      <c r="L44" s="8">
        <v>100</v>
      </c>
      <c r="M44" s="9">
        <v>1</v>
      </c>
      <c r="N44" s="8">
        <v>1492.0984000000146</v>
      </c>
      <c r="O44" s="8">
        <v>100</v>
      </c>
      <c r="P44" s="9">
        <v>1</v>
      </c>
      <c r="Q44" s="8">
        <v>2961.235034000002</v>
      </c>
      <c r="R44" s="8">
        <v>100</v>
      </c>
      <c r="S44" s="9">
        <v>1</v>
      </c>
      <c r="T44" s="8">
        <v>272.5795700000061</v>
      </c>
      <c r="U44" s="8">
        <v>100</v>
      </c>
      <c r="V44" s="9">
        <v>1</v>
      </c>
      <c r="W44" s="8">
        <v>5972.840276000013</v>
      </c>
      <c r="X44" s="8">
        <v>100</v>
      </c>
      <c r="Y44" s="9">
        <v>1</v>
      </c>
    </row>
    <row r="46" ht="20.25">
      <c r="A46" s="15">
        <v>2008</v>
      </c>
    </row>
    <row r="48" spans="2:14" ht="13.5" thickBot="1">
      <c r="B48" s="10" t="s">
        <v>33</v>
      </c>
      <c r="E48" s="10" t="s">
        <v>34</v>
      </c>
      <c r="H48" s="10" t="s">
        <v>36</v>
      </c>
      <c r="K48" s="10" t="s">
        <v>35</v>
      </c>
      <c r="N48" s="10" t="s">
        <v>37</v>
      </c>
    </row>
    <row r="49" spans="1:16" ht="13.5" thickBot="1">
      <c r="A49" s="1"/>
      <c r="B49" s="187" t="s">
        <v>0</v>
      </c>
      <c r="C49" s="188"/>
      <c r="D49" s="189"/>
      <c r="E49" s="187" t="s">
        <v>0</v>
      </c>
      <c r="F49" s="188"/>
      <c r="G49" s="189"/>
      <c r="H49" s="187" t="s">
        <v>0</v>
      </c>
      <c r="I49" s="188"/>
      <c r="J49" s="189"/>
      <c r="K49" s="187" t="s">
        <v>0</v>
      </c>
      <c r="L49" s="188"/>
      <c r="M49" s="189"/>
      <c r="N49" s="187" t="s">
        <v>0</v>
      </c>
      <c r="O49" s="188"/>
      <c r="P49" s="189"/>
    </row>
    <row r="50" spans="1:16" ht="12.75">
      <c r="A50" s="2" t="s">
        <v>1</v>
      </c>
      <c r="B50" s="3" t="s">
        <v>2</v>
      </c>
      <c r="C50" s="3" t="s">
        <v>3</v>
      </c>
      <c r="D50" s="4" t="s">
        <v>4</v>
      </c>
      <c r="E50" s="3" t="s">
        <v>2</v>
      </c>
      <c r="F50" s="3" t="s">
        <v>3</v>
      </c>
      <c r="G50" s="4" t="s">
        <v>4</v>
      </c>
      <c r="H50" s="3" t="s">
        <v>2</v>
      </c>
      <c r="I50" s="3" t="s">
        <v>3</v>
      </c>
      <c r="J50" s="4" t="s">
        <v>4</v>
      </c>
      <c r="K50" s="3" t="s">
        <v>2</v>
      </c>
      <c r="L50" s="3" t="s">
        <v>3</v>
      </c>
      <c r="M50" s="4" t="s">
        <v>4</v>
      </c>
      <c r="N50" s="3" t="s">
        <v>2</v>
      </c>
      <c r="O50" s="3" t="s">
        <v>3</v>
      </c>
      <c r="P50" s="4" t="s">
        <v>4</v>
      </c>
    </row>
    <row r="51" spans="1:16" ht="12.75">
      <c r="A51" s="5" t="s">
        <v>5</v>
      </c>
      <c r="B51" s="6">
        <v>7.19000000000085</v>
      </c>
      <c r="C51" s="6">
        <v>0</v>
      </c>
      <c r="D51" s="7">
        <v>0</v>
      </c>
      <c r="E51" s="6">
        <v>1.349999999999909</v>
      </c>
      <c r="F51" s="6">
        <v>0</v>
      </c>
      <c r="G51" s="7">
        <v>0</v>
      </c>
      <c r="H51" s="6">
        <v>93.5299999999997</v>
      </c>
      <c r="I51" s="6">
        <v>0.5277471153675565</v>
      </c>
      <c r="J51" s="7">
        <v>0</v>
      </c>
      <c r="K51" s="6">
        <v>5.850000000000136</v>
      </c>
      <c r="L51" s="6">
        <v>0</v>
      </c>
      <c r="M51" s="7">
        <v>0</v>
      </c>
      <c r="N51" s="6">
        <v>74.60999999999889</v>
      </c>
      <c r="O51" s="6">
        <v>5.57595903670453</v>
      </c>
      <c r="P51" s="7">
        <v>0.0557595903670453</v>
      </c>
    </row>
    <row r="52" spans="1:16" ht="12.75">
      <c r="A52" s="5" t="s">
        <v>6</v>
      </c>
      <c r="B52" s="6">
        <v>28.72</v>
      </c>
      <c r="C52" s="6">
        <v>3.5901525814847033</v>
      </c>
      <c r="D52" s="7">
        <v>0</v>
      </c>
      <c r="E52" s="6">
        <v>2.23</v>
      </c>
      <c r="F52" s="6">
        <v>0</v>
      </c>
      <c r="G52" s="7">
        <v>0</v>
      </c>
      <c r="H52" s="6">
        <v>37.81919999999979</v>
      </c>
      <c r="I52" s="6">
        <v>0.21339648995518704</v>
      </c>
      <c r="J52" s="7">
        <v>0</v>
      </c>
      <c r="K52" s="6">
        <v>31.356800000000057</v>
      </c>
      <c r="L52" s="6">
        <v>3.1293204947522675</v>
      </c>
      <c r="M52" s="7">
        <v>0.031293204947522676</v>
      </c>
      <c r="N52" s="6">
        <v>77.99679999999958</v>
      </c>
      <c r="O52" s="6">
        <v>5.829070658008846</v>
      </c>
      <c r="P52" s="7">
        <v>0.05829070658008846</v>
      </c>
    </row>
    <row r="53" spans="1:16" ht="12.75">
      <c r="A53" s="5" t="s">
        <v>7</v>
      </c>
      <c r="B53" s="6">
        <v>24.488109999999672</v>
      </c>
      <c r="C53" s="6">
        <v>3.0611438486135207</v>
      </c>
      <c r="D53" s="7">
        <v>0</v>
      </c>
      <c r="E53" s="6">
        <v>16.210872000005153</v>
      </c>
      <c r="F53" s="6">
        <v>1.905592996635355</v>
      </c>
      <c r="G53" s="7">
        <v>0</v>
      </c>
      <c r="H53" s="6">
        <v>722.0542269999986</v>
      </c>
      <c r="I53" s="6">
        <v>4.074222553599928</v>
      </c>
      <c r="J53" s="7">
        <v>0.0419809254488373</v>
      </c>
      <c r="K53" s="6">
        <v>17.506900000004286</v>
      </c>
      <c r="L53" s="6">
        <v>1.747139407388247</v>
      </c>
      <c r="M53" s="7">
        <v>0.01747139407388247</v>
      </c>
      <c r="N53" s="6">
        <v>366.45843200000866</v>
      </c>
      <c r="O53" s="6">
        <v>27.38717605531499</v>
      </c>
      <c r="P53" s="7">
        <v>0.2738717605531499</v>
      </c>
    </row>
    <row r="54" spans="1:16" ht="12.75">
      <c r="A54" s="5" t="s">
        <v>8</v>
      </c>
      <c r="B54" s="6">
        <v>14.5500000000007</v>
      </c>
      <c r="C54" s="6">
        <v>1.8188273001603417</v>
      </c>
      <c r="D54" s="7">
        <v>0</v>
      </c>
      <c r="E54" s="6">
        <v>0.20000000000004547</v>
      </c>
      <c r="F54" s="6">
        <v>0</v>
      </c>
      <c r="G54" s="7">
        <v>0</v>
      </c>
      <c r="H54" s="6">
        <v>102.07919999999844</v>
      </c>
      <c r="I54" s="6">
        <v>0.5759863502515473</v>
      </c>
      <c r="J54" s="7">
        <v>0</v>
      </c>
      <c r="K54" s="6">
        <v>8.073200000000597</v>
      </c>
      <c r="L54" s="6">
        <v>0</v>
      </c>
      <c r="M54" s="7">
        <v>0</v>
      </c>
      <c r="N54" s="6">
        <v>97.47779999999773</v>
      </c>
      <c r="O54" s="6">
        <v>7.284978150222118</v>
      </c>
      <c r="P54" s="7">
        <v>0.07284978150222118</v>
      </c>
    </row>
    <row r="55" spans="1:16" ht="12.75">
      <c r="A55" s="5" t="s">
        <v>9</v>
      </c>
      <c r="B55" s="6">
        <v>638.0078899999933</v>
      </c>
      <c r="C55" s="6">
        <v>79.75437581097101</v>
      </c>
      <c r="D55" s="7">
        <v>1</v>
      </c>
      <c r="E55" s="6">
        <v>1.4772000000002379</v>
      </c>
      <c r="F55" s="6">
        <v>0</v>
      </c>
      <c r="G55" s="7">
        <v>0</v>
      </c>
      <c r="H55" s="6">
        <v>4516.818770000003</v>
      </c>
      <c r="I55" s="6">
        <v>25.48634744472943</v>
      </c>
      <c r="J55" s="7">
        <v>0.2626121764249148</v>
      </c>
      <c r="K55" s="6">
        <v>9.972700000001375</v>
      </c>
      <c r="L55" s="6">
        <v>0</v>
      </c>
      <c r="M55" s="7">
        <v>0</v>
      </c>
      <c r="N55" s="6">
        <v>432.72087999999366</v>
      </c>
      <c r="O55" s="6">
        <v>32.339282954117905</v>
      </c>
      <c r="P55" s="7">
        <v>0.32339282954117904</v>
      </c>
    </row>
    <row r="56" spans="1:16" ht="12.75">
      <c r="A56" s="5" t="s">
        <v>10</v>
      </c>
      <c r="B56" s="6">
        <v>18.910000000000437</v>
      </c>
      <c r="C56" s="6">
        <v>2.363850463644756</v>
      </c>
      <c r="D56" s="7">
        <v>0</v>
      </c>
      <c r="E56" s="6">
        <v>15.24</v>
      </c>
      <c r="F56" s="6">
        <v>1.791466694001011</v>
      </c>
      <c r="G56" s="7">
        <v>0</v>
      </c>
      <c r="H56" s="6">
        <v>10233.66</v>
      </c>
      <c r="I56" s="6">
        <v>57.743874100848565</v>
      </c>
      <c r="J56" s="7">
        <v>0.5949948098963892</v>
      </c>
      <c r="K56" s="6">
        <v>1.099999999999909</v>
      </c>
      <c r="L56" s="6">
        <v>0</v>
      </c>
      <c r="M56" s="7">
        <v>0</v>
      </c>
      <c r="N56" s="6">
        <v>68.23000000000047</v>
      </c>
      <c r="O56" s="6">
        <v>5.099151388210138</v>
      </c>
      <c r="P56" s="7">
        <v>0.05099151388210138</v>
      </c>
    </row>
    <row r="57" spans="1:16" ht="12.75">
      <c r="A57" s="5" t="s">
        <v>11</v>
      </c>
      <c r="B57" s="6">
        <v>27.500000000010175</v>
      </c>
      <c r="C57" s="6">
        <v>3.4376460999605154</v>
      </c>
      <c r="D57" s="7">
        <v>0</v>
      </c>
      <c r="E57" s="6">
        <v>24.361928000001207</v>
      </c>
      <c r="F57" s="6">
        <v>2.8637521400034687</v>
      </c>
      <c r="G57" s="7">
        <v>0</v>
      </c>
      <c r="H57" s="6">
        <v>799.9091129999995</v>
      </c>
      <c r="I57" s="6">
        <v>4.513522152699368</v>
      </c>
      <c r="J57" s="7">
        <v>0.046507483209704444</v>
      </c>
      <c r="K57" s="6">
        <v>1.9099999999998545</v>
      </c>
      <c r="L57" s="6">
        <v>0</v>
      </c>
      <c r="M57" s="7">
        <v>0</v>
      </c>
      <c r="N57" s="6">
        <v>19.6019279999976</v>
      </c>
      <c r="O57" s="6">
        <v>1.464945014990213</v>
      </c>
      <c r="P57" s="7">
        <v>0.01464945014990213</v>
      </c>
    </row>
    <row r="58" spans="1:16" ht="12.75">
      <c r="A58" s="5" t="s">
        <v>12</v>
      </c>
      <c r="B58" s="6">
        <v>0</v>
      </c>
      <c r="C58" s="6">
        <v>0</v>
      </c>
      <c r="D58" s="7">
        <v>0</v>
      </c>
      <c r="E58" s="6">
        <v>0.09999999999999964</v>
      </c>
      <c r="F58" s="6">
        <v>0</v>
      </c>
      <c r="G58" s="7">
        <v>0</v>
      </c>
      <c r="H58" s="6">
        <v>0.5499999999999972</v>
      </c>
      <c r="I58" s="6">
        <v>0</v>
      </c>
      <c r="J58" s="7">
        <v>0</v>
      </c>
      <c r="K58" s="6">
        <v>0</v>
      </c>
      <c r="L58" s="6">
        <v>0</v>
      </c>
      <c r="M58" s="7">
        <v>0</v>
      </c>
      <c r="N58" s="6">
        <v>0</v>
      </c>
      <c r="O58" s="6">
        <v>0</v>
      </c>
      <c r="P58" s="7">
        <v>0</v>
      </c>
    </row>
    <row r="59" spans="1:16" ht="12.75">
      <c r="A59" s="5" t="s">
        <v>13</v>
      </c>
      <c r="B59" s="6">
        <v>0</v>
      </c>
      <c r="C59" s="6">
        <v>0</v>
      </c>
      <c r="D59" s="7">
        <v>0</v>
      </c>
      <c r="E59" s="6">
        <v>43.1768000000002</v>
      </c>
      <c r="F59" s="6">
        <v>5.075446138683942</v>
      </c>
      <c r="G59" s="7">
        <v>0</v>
      </c>
      <c r="H59" s="6">
        <v>85.71040000000032</v>
      </c>
      <c r="I59" s="6">
        <v>0.48362468039131534</v>
      </c>
      <c r="J59" s="7">
        <v>0</v>
      </c>
      <c r="K59" s="6">
        <v>1.1999999999999886</v>
      </c>
      <c r="L59" s="6">
        <v>0</v>
      </c>
      <c r="M59" s="7">
        <v>0</v>
      </c>
      <c r="N59" s="6">
        <v>4.109999999999982</v>
      </c>
      <c r="O59" s="6">
        <v>0</v>
      </c>
      <c r="P59" s="7">
        <v>0</v>
      </c>
    </row>
    <row r="60" spans="1:16" ht="12.75">
      <c r="A60" s="5" t="s">
        <v>14</v>
      </c>
      <c r="B60" s="6">
        <v>27.929999999997055</v>
      </c>
      <c r="C60" s="6">
        <v>3.491398384430965</v>
      </c>
      <c r="D60" s="7">
        <v>0</v>
      </c>
      <c r="E60" s="6">
        <v>715.8100000000031</v>
      </c>
      <c r="F60" s="6">
        <v>84.14368597328546</v>
      </c>
      <c r="G60" s="7">
        <v>1</v>
      </c>
      <c r="H60" s="6">
        <v>927.1364910000034</v>
      </c>
      <c r="I60" s="6">
        <v>5.23140819712661</v>
      </c>
      <c r="J60" s="7">
        <v>0.0539046050201543</v>
      </c>
      <c r="K60" s="6">
        <v>17.517239000000647</v>
      </c>
      <c r="L60" s="6">
        <v>1.7481712105245317</v>
      </c>
      <c r="M60" s="7">
        <v>0.017481712105245316</v>
      </c>
      <c r="N60" s="6">
        <v>67.12911399999831</v>
      </c>
      <c r="O60" s="6">
        <v>5.016876957971649</v>
      </c>
      <c r="P60" s="7">
        <v>0.050168769579716485</v>
      </c>
    </row>
    <row r="61" spans="1:16" ht="12.75">
      <c r="A61" s="5" t="s">
        <v>15</v>
      </c>
      <c r="B61" s="6">
        <v>19.85999999999975</v>
      </c>
      <c r="C61" s="6">
        <v>2.4826055107341714</v>
      </c>
      <c r="D61" s="7">
        <v>0</v>
      </c>
      <c r="E61" s="6">
        <v>35.89999999999943</v>
      </c>
      <c r="F61" s="6">
        <v>4.220056057390769</v>
      </c>
      <c r="G61" s="7">
        <v>0</v>
      </c>
      <c r="H61" s="6">
        <v>20.07</v>
      </c>
      <c r="I61" s="6">
        <v>0.1132458527256163</v>
      </c>
      <c r="J61" s="7">
        <v>0</v>
      </c>
      <c r="K61" s="6">
        <v>0.09999999999999964</v>
      </c>
      <c r="L61" s="6">
        <v>0</v>
      </c>
      <c r="M61" s="7">
        <v>0</v>
      </c>
      <c r="N61" s="6">
        <v>17.729999999999627</v>
      </c>
      <c r="O61" s="6">
        <v>1.325046960471394</v>
      </c>
      <c r="P61" s="7">
        <v>0.01325046960471394</v>
      </c>
    </row>
    <row r="62" spans="1:16" ht="12.75">
      <c r="A62" s="5" t="s">
        <v>16</v>
      </c>
      <c r="B62" s="6">
        <v>0</v>
      </c>
      <c r="C62" s="6">
        <v>0</v>
      </c>
      <c r="D62" s="7">
        <v>0</v>
      </c>
      <c r="E62" s="6">
        <v>2.110000000000099</v>
      </c>
      <c r="F62" s="6">
        <v>0</v>
      </c>
      <c r="G62" s="7">
        <v>0</v>
      </c>
      <c r="H62" s="6">
        <v>36.500183999999685</v>
      </c>
      <c r="I62" s="6">
        <v>0.20595388449037672</v>
      </c>
      <c r="J62" s="7">
        <v>0</v>
      </c>
      <c r="K62" s="6">
        <v>23.39146800000058</v>
      </c>
      <c r="L62" s="6">
        <v>2.3344027520264663</v>
      </c>
      <c r="M62" s="7">
        <v>0.023344027520264665</v>
      </c>
      <c r="N62" s="6">
        <v>14.490636000000197</v>
      </c>
      <c r="O62" s="6">
        <v>1.0829539304623814</v>
      </c>
      <c r="P62" s="7">
        <v>0.010829539304623815</v>
      </c>
    </row>
    <row r="63" spans="1:16" ht="12.75">
      <c r="A63" s="5" t="s">
        <v>17</v>
      </c>
      <c r="B63" s="6">
        <v>6.100311999999256</v>
      </c>
      <c r="C63" s="6">
        <v>0</v>
      </c>
      <c r="D63" s="7">
        <v>0</v>
      </c>
      <c r="E63" s="6">
        <v>0.4200000000000159</v>
      </c>
      <c r="F63" s="6">
        <v>0</v>
      </c>
      <c r="G63" s="7">
        <v>0</v>
      </c>
      <c r="H63" s="6">
        <v>147.21572700000124</v>
      </c>
      <c r="I63" s="6">
        <v>0.8306711778144831</v>
      </c>
      <c r="J63" s="7">
        <v>0</v>
      </c>
      <c r="K63" s="6">
        <v>29.53087500000933</v>
      </c>
      <c r="L63" s="6">
        <v>2.947098312503074</v>
      </c>
      <c r="M63" s="7">
        <v>0.029470983125030742</v>
      </c>
      <c r="N63" s="6">
        <v>45.352293999997976</v>
      </c>
      <c r="O63" s="6">
        <v>3.38939195234651</v>
      </c>
      <c r="P63" s="7">
        <v>0.0338939195234651</v>
      </c>
    </row>
    <row r="64" spans="1:16" ht="12.75">
      <c r="A64" s="5" t="s">
        <v>18</v>
      </c>
      <c r="B64" s="6">
        <v>2.939999999999955</v>
      </c>
      <c r="C64" s="6">
        <v>0</v>
      </c>
      <c r="D64" s="7">
        <v>0</v>
      </c>
      <c r="E64" s="6">
        <v>0</v>
      </c>
      <c r="F64" s="6">
        <v>0</v>
      </c>
      <c r="G64" s="7">
        <v>0</v>
      </c>
      <c r="H64" s="6">
        <v>7.37904000000006</v>
      </c>
      <c r="I64" s="6">
        <v>0</v>
      </c>
      <c r="J64" s="7">
        <v>0</v>
      </c>
      <c r="K64" s="6">
        <v>788.1289500000003</v>
      </c>
      <c r="L64" s="6">
        <v>78.6530537472759</v>
      </c>
      <c r="M64" s="7">
        <v>0.786530537472759</v>
      </c>
      <c r="N64" s="6">
        <v>27.527899999999267</v>
      </c>
      <c r="O64" s="6">
        <v>2.0572904807197</v>
      </c>
      <c r="P64" s="7">
        <v>0.020572904807197</v>
      </c>
    </row>
    <row r="65" spans="1:16" ht="12.75">
      <c r="A65" s="5" t="s">
        <v>19</v>
      </c>
      <c r="B65" s="6">
        <v>2.9600000000000364</v>
      </c>
      <c r="C65" s="6">
        <v>0</v>
      </c>
      <c r="D65" s="7">
        <v>0</v>
      </c>
      <c r="E65" s="6">
        <v>0</v>
      </c>
      <c r="F65" s="6">
        <v>0</v>
      </c>
      <c r="G65" s="7">
        <v>0</v>
      </c>
      <c r="H65" s="6">
        <v>3.289999999999921</v>
      </c>
      <c r="I65" s="6">
        <v>0</v>
      </c>
      <c r="J65" s="7">
        <v>0</v>
      </c>
      <c r="K65" s="6">
        <v>94.59999999999991</v>
      </c>
      <c r="L65" s="6">
        <v>9.440814075529508</v>
      </c>
      <c r="M65" s="7">
        <v>0.09440814075529508</v>
      </c>
      <c r="N65" s="6">
        <v>28.74000000000045</v>
      </c>
      <c r="O65" s="6">
        <v>2.147876460459631</v>
      </c>
      <c r="P65" s="7">
        <v>0.02147876460459631</v>
      </c>
    </row>
    <row r="66" spans="1:16" ht="12.75">
      <c r="A66" s="2" t="s">
        <v>20</v>
      </c>
      <c r="B66" s="8">
        <v>799.9660000000011</v>
      </c>
      <c r="C66" s="8">
        <v>100</v>
      </c>
      <c r="D66" s="9">
        <v>1</v>
      </c>
      <c r="E66" s="8">
        <v>850.6996000000091</v>
      </c>
      <c r="F66" s="8">
        <v>100</v>
      </c>
      <c r="G66" s="9">
        <v>1</v>
      </c>
      <c r="H66" s="8">
        <v>17722.503312000008</v>
      </c>
      <c r="I66" s="8">
        <v>100</v>
      </c>
      <c r="J66" s="9">
        <v>1</v>
      </c>
      <c r="K66" s="8">
        <v>1002.032232000015</v>
      </c>
      <c r="L66" s="8">
        <v>100</v>
      </c>
      <c r="M66" s="9">
        <v>1</v>
      </c>
      <c r="N66" s="8">
        <v>1338.0657839999924</v>
      </c>
      <c r="O66" s="8">
        <v>100</v>
      </c>
      <c r="P66" s="9">
        <v>1</v>
      </c>
    </row>
  </sheetData>
  <mergeCells count="19">
    <mergeCell ref="W27:Y27"/>
    <mergeCell ref="K5:M5"/>
    <mergeCell ref="Q27:S27"/>
    <mergeCell ref="B49:D49"/>
    <mergeCell ref="E49:G49"/>
    <mergeCell ref="H49:J49"/>
    <mergeCell ref="K49:M49"/>
    <mergeCell ref="N49:P49"/>
    <mergeCell ref="Q5:S5"/>
    <mergeCell ref="T27:V27"/>
    <mergeCell ref="N5:P5"/>
    <mergeCell ref="B27:D27"/>
    <mergeCell ref="E27:G27"/>
    <mergeCell ref="H27:J27"/>
    <mergeCell ref="K27:M27"/>
    <mergeCell ref="N27:P27"/>
    <mergeCell ref="B5:D5"/>
    <mergeCell ref="E5:G5"/>
    <mergeCell ref="H5:J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Z69"/>
  <sheetViews>
    <sheetView showGridLines="0" tabSelected="1" workbookViewId="0" topLeftCell="A1">
      <pane ySplit="5" topLeftCell="BM33" activePane="bottomLeft" state="frozen"/>
      <selection pane="topLeft" activeCell="B1" sqref="B1"/>
      <selection pane="bottomLeft" activeCell="C41" sqref="C41"/>
    </sheetView>
  </sheetViews>
  <sheetFormatPr defaultColWidth="9.140625" defaultRowHeight="12.75"/>
  <cols>
    <col min="1" max="1" width="9.140625" style="17" customWidth="1"/>
    <col min="2" max="2" width="9.140625" style="16" customWidth="1"/>
    <col min="3" max="3" width="46.7109375" style="63" bestFit="1" customWidth="1"/>
    <col min="4" max="4" width="12.28125" style="16" bestFit="1" customWidth="1"/>
    <col min="5" max="5" width="13.00390625" style="16" customWidth="1"/>
    <col min="6" max="6" width="12.57421875" style="16" bestFit="1" customWidth="1"/>
    <col min="7" max="7" width="52.28125" style="16" customWidth="1"/>
    <col min="8" max="8" width="51.28125" style="21" customWidth="1"/>
    <col min="9" max="9" width="68.57421875" style="16" customWidth="1"/>
    <col min="10" max="14" width="9.140625" style="17" hidden="1" customWidth="1"/>
    <col min="15" max="16384" width="9.140625" style="16" customWidth="1"/>
  </cols>
  <sheetData>
    <row r="1" spans="2:14" ht="37.5" customHeight="1">
      <c r="B1" s="18" t="s">
        <v>38</v>
      </c>
      <c r="C1" s="19"/>
      <c r="D1" s="19"/>
      <c r="E1" s="19"/>
      <c r="F1" s="19"/>
      <c r="G1" s="20"/>
      <c r="J1" s="22" t="s">
        <v>39</v>
      </c>
      <c r="K1" s="22" t="s">
        <v>40</v>
      </c>
      <c r="L1" s="22" t="s">
        <v>41</v>
      </c>
      <c r="M1" s="22" t="s">
        <v>42</v>
      </c>
      <c r="N1" s="22" t="s">
        <v>43</v>
      </c>
    </row>
    <row r="2" spans="2:14" ht="23.25">
      <c r="B2" s="23" t="s">
        <v>44</v>
      </c>
      <c r="C2" s="19"/>
      <c r="D2" s="19"/>
      <c r="E2" s="19"/>
      <c r="F2" s="19"/>
      <c r="G2" s="20"/>
      <c r="J2" s="22"/>
      <c r="K2" s="22"/>
      <c r="L2" s="22"/>
      <c r="M2" s="22"/>
      <c r="N2" s="22"/>
    </row>
    <row r="3" spans="2:14" ht="27.75" customHeight="1">
      <c r="B3" s="23" t="s">
        <v>45</v>
      </c>
      <c r="C3" s="19"/>
      <c r="D3" s="19"/>
      <c r="E3" s="19"/>
      <c r="F3" s="19"/>
      <c r="G3" s="20"/>
      <c r="J3" s="22"/>
      <c r="K3" s="22"/>
      <c r="L3" s="22"/>
      <c r="M3" s="22"/>
      <c r="N3" s="22"/>
    </row>
    <row r="4" spans="2:14" ht="31.5" customHeight="1">
      <c r="B4" s="24" t="s">
        <v>46</v>
      </c>
      <c r="C4" s="25"/>
      <c r="D4" s="25"/>
      <c r="E4" s="25"/>
      <c r="F4" s="25"/>
      <c r="G4" s="20"/>
      <c r="J4" s="22"/>
      <c r="K4" s="22"/>
      <c r="L4" s="22"/>
      <c r="M4" s="22"/>
      <c r="N4" s="22"/>
    </row>
    <row r="5" spans="1:14" ht="38.25">
      <c r="A5" s="26" t="s">
        <v>47</v>
      </c>
      <c r="B5" s="26" t="s">
        <v>48</v>
      </c>
      <c r="C5" s="26" t="s">
        <v>49</v>
      </c>
      <c r="D5" s="27" t="s">
        <v>50</v>
      </c>
      <c r="E5" s="27" t="s">
        <v>51</v>
      </c>
      <c r="F5" s="28" t="s">
        <v>52</v>
      </c>
      <c r="G5" s="26" t="s">
        <v>53</v>
      </c>
      <c r="H5" s="29" t="s">
        <v>54</v>
      </c>
      <c r="I5" s="26" t="s">
        <v>55</v>
      </c>
      <c r="J5" s="26"/>
      <c r="K5" s="26"/>
      <c r="L5" s="26"/>
      <c r="M5" s="26"/>
      <c r="N5" s="26"/>
    </row>
    <row r="6" spans="1:208" s="30" customFormat="1" ht="25.5">
      <c r="A6" s="31" t="s">
        <v>56</v>
      </c>
      <c r="B6" s="32" t="s">
        <v>57</v>
      </c>
      <c r="C6" s="33" t="s">
        <v>58</v>
      </c>
      <c r="D6" s="34">
        <v>38869</v>
      </c>
      <c r="E6" s="34" t="s">
        <v>56</v>
      </c>
      <c r="F6" s="35">
        <v>50000</v>
      </c>
      <c r="G6" s="36" t="s">
        <v>59</v>
      </c>
      <c r="H6" s="37" t="s">
        <v>60</v>
      </c>
      <c r="I6" s="37" t="s">
        <v>61</v>
      </c>
      <c r="J6" s="38" t="s">
        <v>62</v>
      </c>
      <c r="K6" s="38" t="s">
        <v>62</v>
      </c>
      <c r="L6" s="38" t="s">
        <v>63</v>
      </c>
      <c r="M6" s="38" t="s">
        <v>63</v>
      </c>
      <c r="N6" s="38" t="s">
        <v>63</v>
      </c>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row>
    <row r="7" spans="1:208" s="30" customFormat="1" ht="25.5">
      <c r="A7" s="31" t="s">
        <v>56</v>
      </c>
      <c r="B7" s="32" t="s">
        <v>57</v>
      </c>
      <c r="C7" s="33" t="s">
        <v>64</v>
      </c>
      <c r="D7" s="34" t="s">
        <v>65</v>
      </c>
      <c r="E7" s="34">
        <v>39234</v>
      </c>
      <c r="F7" s="35">
        <v>100000</v>
      </c>
      <c r="G7" s="36" t="s">
        <v>66</v>
      </c>
      <c r="H7" s="37" t="s">
        <v>67</v>
      </c>
      <c r="I7" s="37" t="s">
        <v>68</v>
      </c>
      <c r="J7" s="38" t="s">
        <v>63</v>
      </c>
      <c r="K7" s="38" t="s">
        <v>63</v>
      </c>
      <c r="L7" s="38" t="s">
        <v>63</v>
      </c>
      <c r="M7" s="38" t="s">
        <v>63</v>
      </c>
      <c r="N7" s="38" t="s">
        <v>63</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row>
    <row r="8" spans="1:208" s="30" customFormat="1" ht="25.5">
      <c r="A8" s="31" t="s">
        <v>56</v>
      </c>
      <c r="B8" s="32" t="s">
        <v>57</v>
      </c>
      <c r="C8" s="33" t="s">
        <v>69</v>
      </c>
      <c r="D8" s="34" t="s">
        <v>65</v>
      </c>
      <c r="E8" s="34">
        <v>39234</v>
      </c>
      <c r="F8" s="35">
        <v>200000</v>
      </c>
      <c r="G8" s="36" t="s">
        <v>66</v>
      </c>
      <c r="H8" s="37" t="s">
        <v>70</v>
      </c>
      <c r="I8" s="37" t="s">
        <v>71</v>
      </c>
      <c r="J8" s="38" t="s">
        <v>63</v>
      </c>
      <c r="K8" s="38" t="s">
        <v>63</v>
      </c>
      <c r="L8" s="38" t="s">
        <v>63</v>
      </c>
      <c r="M8" s="38" t="s">
        <v>63</v>
      </c>
      <c r="N8" s="38" t="s">
        <v>63</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row>
    <row r="9" spans="1:208" s="30" customFormat="1" ht="25.5">
      <c r="A9" s="31" t="s">
        <v>56</v>
      </c>
      <c r="B9" s="40" t="s">
        <v>57</v>
      </c>
      <c r="C9" s="33" t="s">
        <v>72</v>
      </c>
      <c r="D9" s="34" t="s">
        <v>65</v>
      </c>
      <c r="E9" s="34">
        <v>39234</v>
      </c>
      <c r="F9" s="35">
        <v>550000</v>
      </c>
      <c r="G9" s="36" t="s">
        <v>73</v>
      </c>
      <c r="H9" s="41" t="s">
        <v>74</v>
      </c>
      <c r="I9" s="37" t="s">
        <v>75</v>
      </c>
      <c r="J9" s="38" t="s">
        <v>63</v>
      </c>
      <c r="K9" s="38" t="s">
        <v>63</v>
      </c>
      <c r="L9" s="38" t="s">
        <v>63</v>
      </c>
      <c r="M9" s="38" t="s">
        <v>63</v>
      </c>
      <c r="N9" s="38" t="s">
        <v>63</v>
      </c>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row>
    <row r="10" spans="1:208" s="30" customFormat="1" ht="25.5">
      <c r="A10" s="31" t="s">
        <v>56</v>
      </c>
      <c r="B10" s="40" t="s">
        <v>57</v>
      </c>
      <c r="C10" s="33" t="s">
        <v>76</v>
      </c>
      <c r="D10" s="34" t="s">
        <v>65</v>
      </c>
      <c r="E10" s="34">
        <v>39234</v>
      </c>
      <c r="F10" s="35">
        <v>550000</v>
      </c>
      <c r="G10" s="36" t="s">
        <v>73</v>
      </c>
      <c r="H10" s="41" t="s">
        <v>77</v>
      </c>
      <c r="I10" s="37" t="s">
        <v>78</v>
      </c>
      <c r="J10" s="38" t="s">
        <v>63</v>
      </c>
      <c r="K10" s="38" t="s">
        <v>63</v>
      </c>
      <c r="L10" s="38" t="s">
        <v>63</v>
      </c>
      <c r="M10" s="38" t="s">
        <v>63</v>
      </c>
      <c r="N10" s="38" t="s">
        <v>63</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row>
    <row r="11" spans="1:208" s="30" customFormat="1" ht="38.25">
      <c r="A11" s="31" t="s">
        <v>56</v>
      </c>
      <c r="B11" s="32" t="s">
        <v>57</v>
      </c>
      <c r="C11" s="33" t="s">
        <v>79</v>
      </c>
      <c r="D11" s="34">
        <v>39600</v>
      </c>
      <c r="E11" s="34">
        <v>39234</v>
      </c>
      <c r="F11" s="35">
        <v>1750000</v>
      </c>
      <c r="G11" s="36" t="s">
        <v>66</v>
      </c>
      <c r="H11" s="37" t="s">
        <v>80</v>
      </c>
      <c r="I11" s="37" t="s">
        <v>81</v>
      </c>
      <c r="J11" s="38" t="s">
        <v>63</v>
      </c>
      <c r="K11" s="38" t="s">
        <v>63</v>
      </c>
      <c r="L11" s="38" t="s">
        <v>63</v>
      </c>
      <c r="M11" s="38" t="s">
        <v>63</v>
      </c>
      <c r="N11" s="38" t="s">
        <v>63</v>
      </c>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row>
    <row r="12" spans="1:208" s="30" customFormat="1" ht="25.5">
      <c r="A12" s="31" t="s">
        <v>56</v>
      </c>
      <c r="B12" s="32" t="s">
        <v>57</v>
      </c>
      <c r="C12" s="33" t="s">
        <v>82</v>
      </c>
      <c r="D12" s="34">
        <v>39600</v>
      </c>
      <c r="E12" s="34" t="s">
        <v>56</v>
      </c>
      <c r="F12" s="35">
        <v>50000</v>
      </c>
      <c r="G12" s="36" t="s">
        <v>83</v>
      </c>
      <c r="H12" s="37" t="s">
        <v>84</v>
      </c>
      <c r="I12" s="37" t="s">
        <v>85</v>
      </c>
      <c r="J12" s="38" t="s">
        <v>62</v>
      </c>
      <c r="K12" s="38" t="s">
        <v>62</v>
      </c>
      <c r="L12" s="38" t="s">
        <v>63</v>
      </c>
      <c r="M12" s="38" t="s">
        <v>63</v>
      </c>
      <c r="N12" s="38" t="s">
        <v>63</v>
      </c>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row>
    <row r="13" spans="1:208" s="30" customFormat="1" ht="25.5">
      <c r="A13" s="42" t="s">
        <v>62</v>
      </c>
      <c r="B13" s="32" t="s">
        <v>57</v>
      </c>
      <c r="C13" s="33" t="s">
        <v>86</v>
      </c>
      <c r="D13" s="34">
        <v>39600</v>
      </c>
      <c r="E13" s="34">
        <v>39600</v>
      </c>
      <c r="F13" s="35">
        <v>21000000</v>
      </c>
      <c r="G13" s="36" t="s">
        <v>87</v>
      </c>
      <c r="H13" s="37" t="s">
        <v>88</v>
      </c>
      <c r="I13" s="37" t="s">
        <v>89</v>
      </c>
      <c r="J13" s="38" t="s">
        <v>63</v>
      </c>
      <c r="K13" s="38" t="s">
        <v>63</v>
      </c>
      <c r="L13" s="38" t="s">
        <v>63</v>
      </c>
      <c r="M13" s="38" t="s">
        <v>63</v>
      </c>
      <c r="N13" s="38" t="s">
        <v>63</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row>
    <row r="14" spans="1:208" s="30" customFormat="1" ht="51">
      <c r="A14" s="42" t="s">
        <v>62</v>
      </c>
      <c r="B14" s="32" t="s">
        <v>18</v>
      </c>
      <c r="C14" s="33" t="s">
        <v>90</v>
      </c>
      <c r="D14" s="34">
        <v>39600</v>
      </c>
      <c r="E14" s="34">
        <v>40330</v>
      </c>
      <c r="F14" s="35">
        <v>14057000</v>
      </c>
      <c r="G14" s="36" t="s">
        <v>91</v>
      </c>
      <c r="H14" s="37" t="s">
        <v>92</v>
      </c>
      <c r="I14" s="37" t="s">
        <v>93</v>
      </c>
      <c r="J14" s="38" t="s">
        <v>63</v>
      </c>
      <c r="K14" s="38" t="s">
        <v>63</v>
      </c>
      <c r="L14" s="38" t="s">
        <v>63</v>
      </c>
      <c r="M14" s="38" t="s">
        <v>63</v>
      </c>
      <c r="N14" s="38" t="s">
        <v>63</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row>
    <row r="15" spans="1:208" s="30" customFormat="1" ht="25.5">
      <c r="A15" s="31" t="s">
        <v>56</v>
      </c>
      <c r="B15" s="32" t="s">
        <v>18</v>
      </c>
      <c r="C15" s="33" t="s">
        <v>94</v>
      </c>
      <c r="D15" s="34" t="s">
        <v>95</v>
      </c>
      <c r="E15" s="34">
        <v>39600</v>
      </c>
      <c r="F15" s="35">
        <v>20000</v>
      </c>
      <c r="G15" s="36" t="s">
        <v>96</v>
      </c>
      <c r="H15" s="37" t="s">
        <v>97</v>
      </c>
      <c r="I15" s="37" t="s">
        <v>98</v>
      </c>
      <c r="J15" s="38" t="s">
        <v>63</v>
      </c>
      <c r="K15" s="38" t="s">
        <v>63</v>
      </c>
      <c r="L15" s="38" t="s">
        <v>63</v>
      </c>
      <c r="M15" s="38" t="s">
        <v>63</v>
      </c>
      <c r="N15" s="38"/>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row>
    <row r="16" spans="1:208" s="43" customFormat="1" ht="25.5">
      <c r="A16" s="60" t="s">
        <v>56</v>
      </c>
      <c r="B16" s="33" t="s">
        <v>12</v>
      </c>
      <c r="C16" s="33" t="s">
        <v>409</v>
      </c>
      <c r="D16" s="151">
        <v>39994</v>
      </c>
      <c r="E16" s="151">
        <v>39600</v>
      </c>
      <c r="F16" s="35">
        <v>536000</v>
      </c>
      <c r="G16" s="159" t="s">
        <v>410</v>
      </c>
      <c r="H16" s="37" t="s">
        <v>411</v>
      </c>
      <c r="I16" s="51" t="s">
        <v>412</v>
      </c>
      <c r="J16" s="38"/>
      <c r="K16" s="38"/>
      <c r="L16" s="38"/>
      <c r="M16" s="38"/>
      <c r="N16" s="38"/>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row>
    <row r="17" spans="1:208" s="30" customFormat="1" ht="25.5">
      <c r="A17" s="60" t="s">
        <v>56</v>
      </c>
      <c r="B17" s="152" t="s">
        <v>16</v>
      </c>
      <c r="C17" s="33" t="s">
        <v>413</v>
      </c>
      <c r="D17" s="153">
        <v>39965</v>
      </c>
      <c r="E17" s="153">
        <v>39234</v>
      </c>
      <c r="F17" s="154">
        <v>250000</v>
      </c>
      <c r="G17" s="155" t="s">
        <v>66</v>
      </c>
      <c r="H17" s="156" t="s">
        <v>414</v>
      </c>
      <c r="I17" s="157" t="s">
        <v>415</v>
      </c>
      <c r="J17" s="38"/>
      <c r="K17" s="38"/>
      <c r="L17" s="38"/>
      <c r="M17" s="38"/>
      <c r="N17" s="38"/>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row>
    <row r="18" spans="1:208" s="30" customFormat="1" ht="51">
      <c r="A18" s="60" t="s">
        <v>56</v>
      </c>
      <c r="B18" s="33" t="s">
        <v>16</v>
      </c>
      <c r="C18" s="33" t="s">
        <v>416</v>
      </c>
      <c r="D18" s="151">
        <v>40330</v>
      </c>
      <c r="E18" s="151">
        <v>39600</v>
      </c>
      <c r="F18" s="158">
        <v>1605500</v>
      </c>
      <c r="G18" s="159" t="s">
        <v>417</v>
      </c>
      <c r="H18" s="160" t="s">
        <v>418</v>
      </c>
      <c r="I18" s="51" t="s">
        <v>419</v>
      </c>
      <c r="J18" s="38"/>
      <c r="K18" s="38"/>
      <c r="L18" s="38"/>
      <c r="M18" s="38"/>
      <c r="N18" s="38"/>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row>
    <row r="19" spans="1:208" s="30" customFormat="1" ht="76.5">
      <c r="A19" s="44" t="s">
        <v>56</v>
      </c>
      <c r="B19" s="45" t="s">
        <v>9</v>
      </c>
      <c r="C19" s="46" t="s">
        <v>99</v>
      </c>
      <c r="D19" s="47">
        <v>38869</v>
      </c>
      <c r="E19" s="47"/>
      <c r="F19" s="48">
        <v>25031.22</v>
      </c>
      <c r="G19" s="49" t="s">
        <v>100</v>
      </c>
      <c r="H19" s="50" t="s">
        <v>101</v>
      </c>
      <c r="I19" s="51" t="s">
        <v>102</v>
      </c>
      <c r="J19" s="52"/>
      <c r="K19" s="52"/>
      <c r="L19" s="52"/>
      <c r="M19" s="52"/>
      <c r="N19" s="52"/>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row>
    <row r="20" spans="1:208" s="30" customFormat="1" ht="51">
      <c r="A20" s="42" t="s">
        <v>62</v>
      </c>
      <c r="B20" s="33" t="s">
        <v>9</v>
      </c>
      <c r="C20" s="33" t="s">
        <v>103</v>
      </c>
      <c r="D20" s="34">
        <v>39082</v>
      </c>
      <c r="E20" s="34" t="s">
        <v>56</v>
      </c>
      <c r="F20" s="54">
        <v>3732000</v>
      </c>
      <c r="G20" s="36" t="s">
        <v>104</v>
      </c>
      <c r="H20" s="37" t="s">
        <v>105</v>
      </c>
      <c r="I20" s="37" t="s">
        <v>106</v>
      </c>
      <c r="J20" s="38" t="s">
        <v>63</v>
      </c>
      <c r="K20" s="38" t="s">
        <v>62</v>
      </c>
      <c r="L20" s="38" t="s">
        <v>62</v>
      </c>
      <c r="M20" s="38" t="s">
        <v>62</v>
      </c>
      <c r="N20" s="38" t="s">
        <v>63</v>
      </c>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row>
    <row r="21" spans="1:208" s="30" customFormat="1" ht="51">
      <c r="A21" s="42" t="s">
        <v>62</v>
      </c>
      <c r="B21" s="33" t="s">
        <v>9</v>
      </c>
      <c r="C21" s="33" t="s">
        <v>107</v>
      </c>
      <c r="D21" s="34">
        <v>39082</v>
      </c>
      <c r="E21" s="34" t="s">
        <v>56</v>
      </c>
      <c r="F21" s="54">
        <v>4791277</v>
      </c>
      <c r="G21" s="36" t="s">
        <v>108</v>
      </c>
      <c r="H21" s="37" t="s">
        <v>109</v>
      </c>
      <c r="I21" s="37" t="s">
        <v>110</v>
      </c>
      <c r="J21" s="38" t="s">
        <v>63</v>
      </c>
      <c r="K21" s="38" t="s">
        <v>62</v>
      </c>
      <c r="L21" s="38" t="s">
        <v>62</v>
      </c>
      <c r="M21" s="38" t="s">
        <v>62</v>
      </c>
      <c r="N21" s="38" t="s">
        <v>63</v>
      </c>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row>
    <row r="22" spans="1:208" s="30" customFormat="1" ht="51">
      <c r="A22" s="42" t="s">
        <v>62</v>
      </c>
      <c r="B22" s="32" t="s">
        <v>9</v>
      </c>
      <c r="C22" s="33" t="s">
        <v>111</v>
      </c>
      <c r="D22" s="34">
        <v>39600</v>
      </c>
      <c r="E22" s="34" t="s">
        <v>56</v>
      </c>
      <c r="F22" s="54">
        <v>1900000</v>
      </c>
      <c r="G22" s="36" t="s">
        <v>100</v>
      </c>
      <c r="H22" s="37" t="s">
        <v>112</v>
      </c>
      <c r="I22" s="37" t="s">
        <v>113</v>
      </c>
      <c r="J22" s="38" t="s">
        <v>63</v>
      </c>
      <c r="K22" s="38" t="s">
        <v>63</v>
      </c>
      <c r="L22" s="38" t="s">
        <v>63</v>
      </c>
      <c r="M22" s="38" t="s">
        <v>63</v>
      </c>
      <c r="N22" s="38" t="s">
        <v>63</v>
      </c>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row>
    <row r="23" spans="1:208" s="30" customFormat="1" ht="38.25">
      <c r="A23" s="60" t="s">
        <v>56</v>
      </c>
      <c r="B23" s="33" t="s">
        <v>9</v>
      </c>
      <c r="C23" s="33" t="s">
        <v>420</v>
      </c>
      <c r="D23" s="34">
        <v>39965</v>
      </c>
      <c r="E23" s="34">
        <v>39356</v>
      </c>
      <c r="F23" s="158">
        <v>250000</v>
      </c>
      <c r="G23" s="36" t="s">
        <v>421</v>
      </c>
      <c r="H23" s="37" t="s">
        <v>422</v>
      </c>
      <c r="I23" s="37" t="s">
        <v>423</v>
      </c>
      <c r="J23" s="38"/>
      <c r="K23" s="38"/>
      <c r="L23" s="38"/>
      <c r="M23" s="38"/>
      <c r="N23" s="38"/>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row>
    <row r="24" spans="1:208" s="30" customFormat="1" ht="25.5">
      <c r="A24" s="31" t="s">
        <v>56</v>
      </c>
      <c r="B24" s="32" t="s">
        <v>114</v>
      </c>
      <c r="C24" s="33" t="s">
        <v>115</v>
      </c>
      <c r="D24" s="34" t="s">
        <v>65</v>
      </c>
      <c r="E24" s="34">
        <v>39234</v>
      </c>
      <c r="F24" s="35">
        <v>2750000</v>
      </c>
      <c r="G24" s="36" t="s">
        <v>66</v>
      </c>
      <c r="H24" s="37" t="s">
        <v>116</v>
      </c>
      <c r="I24" s="37" t="s">
        <v>117</v>
      </c>
      <c r="J24" s="38" t="s">
        <v>63</v>
      </c>
      <c r="K24" s="38" t="s">
        <v>63</v>
      </c>
      <c r="L24" s="38" t="s">
        <v>63</v>
      </c>
      <c r="M24" s="38" t="s">
        <v>63</v>
      </c>
      <c r="N24" s="38"/>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row>
    <row r="25" spans="1:208" s="30" customFormat="1" ht="25.5">
      <c r="A25" s="42" t="s">
        <v>62</v>
      </c>
      <c r="B25" s="32" t="s">
        <v>114</v>
      </c>
      <c r="C25" s="33" t="s">
        <v>118</v>
      </c>
      <c r="D25" s="34" t="s">
        <v>65</v>
      </c>
      <c r="E25" s="34">
        <v>39234</v>
      </c>
      <c r="F25" s="35">
        <v>1000000</v>
      </c>
      <c r="G25" s="36" t="s">
        <v>66</v>
      </c>
      <c r="H25" s="37" t="s">
        <v>119</v>
      </c>
      <c r="I25" s="37" t="s">
        <v>120</v>
      </c>
      <c r="J25" s="38" t="s">
        <v>63</v>
      </c>
      <c r="K25" s="38" t="s">
        <v>63</v>
      </c>
      <c r="L25" s="38" t="s">
        <v>63</v>
      </c>
      <c r="M25" s="38" t="s">
        <v>63</v>
      </c>
      <c r="N25" s="38"/>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row>
    <row r="26" spans="1:208" s="30" customFormat="1" ht="25.5">
      <c r="A26" s="42" t="s">
        <v>62</v>
      </c>
      <c r="B26" s="32" t="s">
        <v>114</v>
      </c>
      <c r="C26" s="33" t="s">
        <v>121</v>
      </c>
      <c r="D26" s="34" t="s">
        <v>65</v>
      </c>
      <c r="E26" s="34">
        <v>39234</v>
      </c>
      <c r="F26" s="35">
        <v>1000000</v>
      </c>
      <c r="G26" s="36" t="s">
        <v>66</v>
      </c>
      <c r="H26" s="37" t="s">
        <v>119</v>
      </c>
      <c r="I26" s="37" t="s">
        <v>122</v>
      </c>
      <c r="J26" s="38"/>
      <c r="K26" s="38"/>
      <c r="L26" s="38"/>
      <c r="M26" s="38"/>
      <c r="N26" s="38"/>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row>
    <row r="27" spans="1:208" s="30" customFormat="1" ht="25.5">
      <c r="A27" s="31" t="s">
        <v>56</v>
      </c>
      <c r="B27" s="32" t="s">
        <v>114</v>
      </c>
      <c r="C27" s="33" t="s">
        <v>123</v>
      </c>
      <c r="D27" s="34" t="s">
        <v>65</v>
      </c>
      <c r="E27" s="34">
        <v>39234</v>
      </c>
      <c r="F27" s="35">
        <v>2750000</v>
      </c>
      <c r="G27" s="36" t="s">
        <v>66</v>
      </c>
      <c r="H27" s="37" t="s">
        <v>124</v>
      </c>
      <c r="I27" s="37" t="s">
        <v>125</v>
      </c>
      <c r="J27" s="38" t="s">
        <v>63</v>
      </c>
      <c r="K27" s="38" t="s">
        <v>63</v>
      </c>
      <c r="L27" s="38" t="s">
        <v>63</v>
      </c>
      <c r="M27" s="38" t="s">
        <v>63</v>
      </c>
      <c r="N27" s="38"/>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row>
    <row r="28" spans="1:208" s="30" customFormat="1" ht="25.5">
      <c r="A28" s="31" t="s">
        <v>56</v>
      </c>
      <c r="B28" s="40" t="s">
        <v>114</v>
      </c>
      <c r="C28" s="33" t="s">
        <v>126</v>
      </c>
      <c r="D28" s="34" t="s">
        <v>65</v>
      </c>
      <c r="E28" s="34">
        <v>39234</v>
      </c>
      <c r="F28" s="35">
        <v>750000</v>
      </c>
      <c r="G28" s="56" t="s">
        <v>66</v>
      </c>
      <c r="H28" s="41" t="s">
        <v>127</v>
      </c>
      <c r="I28" s="37" t="s">
        <v>128</v>
      </c>
      <c r="J28" s="38" t="s">
        <v>63</v>
      </c>
      <c r="K28" s="38" t="s">
        <v>63</v>
      </c>
      <c r="L28" s="38" t="s">
        <v>63</v>
      </c>
      <c r="M28" s="38" t="s">
        <v>63</v>
      </c>
      <c r="N28" s="38" t="s">
        <v>63</v>
      </c>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row>
    <row r="29" spans="1:208" s="30" customFormat="1" ht="25.5">
      <c r="A29" s="31" t="s">
        <v>56</v>
      </c>
      <c r="B29" s="32" t="s">
        <v>114</v>
      </c>
      <c r="C29" s="33" t="s">
        <v>129</v>
      </c>
      <c r="D29" s="34">
        <v>39600</v>
      </c>
      <c r="E29" s="34">
        <v>39234</v>
      </c>
      <c r="F29" s="35">
        <v>2750000</v>
      </c>
      <c r="G29" s="36" t="s">
        <v>66</v>
      </c>
      <c r="H29" s="37" t="s">
        <v>130</v>
      </c>
      <c r="I29" s="37" t="s">
        <v>131</v>
      </c>
      <c r="J29" s="38" t="s">
        <v>63</v>
      </c>
      <c r="K29" s="38" t="s">
        <v>63</v>
      </c>
      <c r="L29" s="38" t="s">
        <v>63</v>
      </c>
      <c r="M29" s="38" t="s">
        <v>63</v>
      </c>
      <c r="N29" s="38" t="s">
        <v>63</v>
      </c>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row>
    <row r="30" spans="1:27" s="39" customFormat="1" ht="25.5">
      <c r="A30" s="31" t="s">
        <v>56</v>
      </c>
      <c r="B30" s="32" t="s">
        <v>114</v>
      </c>
      <c r="C30" s="33" t="s">
        <v>132</v>
      </c>
      <c r="D30" s="34" t="s">
        <v>95</v>
      </c>
      <c r="E30" s="34">
        <v>39600</v>
      </c>
      <c r="F30" s="35">
        <v>3000000</v>
      </c>
      <c r="G30" s="56" t="s">
        <v>133</v>
      </c>
      <c r="H30" s="37" t="s">
        <v>134</v>
      </c>
      <c r="I30" s="37" t="s">
        <v>135</v>
      </c>
      <c r="J30" s="38" t="s">
        <v>63</v>
      </c>
      <c r="K30" s="38" t="s">
        <v>63</v>
      </c>
      <c r="L30" s="38" t="s">
        <v>63</v>
      </c>
      <c r="M30" s="38" t="s">
        <v>63</v>
      </c>
      <c r="N30" s="38"/>
      <c r="O30" s="30"/>
      <c r="P30" s="30"/>
      <c r="Q30" s="30"/>
      <c r="R30" s="30"/>
      <c r="S30" s="30"/>
      <c r="T30" s="30"/>
      <c r="U30" s="30"/>
      <c r="V30" s="30"/>
      <c r="W30" s="30"/>
      <c r="X30" s="30"/>
      <c r="Y30" s="30"/>
      <c r="Z30" s="30"/>
      <c r="AA30" s="30"/>
    </row>
    <row r="31" spans="1:27" s="39" customFormat="1" ht="25.5">
      <c r="A31" s="31" t="s">
        <v>56</v>
      </c>
      <c r="B31" s="40" t="s">
        <v>114</v>
      </c>
      <c r="C31" s="33" t="s">
        <v>136</v>
      </c>
      <c r="D31" s="34" t="s">
        <v>95</v>
      </c>
      <c r="E31" s="34">
        <v>39600</v>
      </c>
      <c r="F31" s="35">
        <v>300000</v>
      </c>
      <c r="G31" s="56" t="s">
        <v>133</v>
      </c>
      <c r="H31" s="41" t="s">
        <v>137</v>
      </c>
      <c r="I31" s="37" t="s">
        <v>138</v>
      </c>
      <c r="J31" s="38"/>
      <c r="K31" s="38"/>
      <c r="L31" s="38"/>
      <c r="M31" s="38"/>
      <c r="N31" s="38"/>
      <c r="O31" s="30"/>
      <c r="P31" s="30"/>
      <c r="Q31" s="30"/>
      <c r="R31" s="30"/>
      <c r="S31" s="30"/>
      <c r="T31" s="30"/>
      <c r="U31" s="30"/>
      <c r="V31" s="30"/>
      <c r="W31" s="30"/>
      <c r="X31" s="30"/>
      <c r="Y31" s="30"/>
      <c r="Z31" s="30"/>
      <c r="AA31" s="30"/>
    </row>
    <row r="32" spans="1:27" s="39" customFormat="1" ht="25.5">
      <c r="A32" s="60" t="s">
        <v>56</v>
      </c>
      <c r="B32" s="40" t="s">
        <v>114</v>
      </c>
      <c r="C32" s="33" t="s">
        <v>424</v>
      </c>
      <c r="D32" s="151">
        <v>40057</v>
      </c>
      <c r="E32" s="151">
        <v>39600</v>
      </c>
      <c r="F32" s="158">
        <v>2750000</v>
      </c>
      <c r="G32" s="56" t="s">
        <v>87</v>
      </c>
      <c r="H32" s="160" t="s">
        <v>130</v>
      </c>
      <c r="I32" s="37" t="s">
        <v>131</v>
      </c>
      <c r="J32" s="38"/>
      <c r="K32" s="38"/>
      <c r="L32" s="38"/>
      <c r="M32" s="38"/>
      <c r="N32" s="38"/>
      <c r="O32" s="30"/>
      <c r="P32" s="30"/>
      <c r="Q32" s="30"/>
      <c r="R32" s="30"/>
      <c r="S32" s="30"/>
      <c r="T32" s="30"/>
      <c r="U32" s="30"/>
      <c r="V32" s="30"/>
      <c r="W32" s="30"/>
      <c r="X32" s="30"/>
      <c r="Y32" s="30"/>
      <c r="Z32" s="30"/>
      <c r="AA32" s="30"/>
    </row>
    <row r="33" spans="1:208" s="30" customFormat="1" ht="25.5">
      <c r="A33" s="60" t="s">
        <v>56</v>
      </c>
      <c r="B33" s="40" t="s">
        <v>114</v>
      </c>
      <c r="C33" s="33" t="s">
        <v>425</v>
      </c>
      <c r="D33" s="151">
        <v>40513</v>
      </c>
      <c r="E33" s="151">
        <v>39234</v>
      </c>
      <c r="F33" s="158">
        <v>2750000</v>
      </c>
      <c r="G33" s="36" t="s">
        <v>66</v>
      </c>
      <c r="H33" s="160" t="s">
        <v>130</v>
      </c>
      <c r="I33" s="37" t="s">
        <v>131</v>
      </c>
      <c r="J33" s="38"/>
      <c r="K33" s="38"/>
      <c r="L33" s="38"/>
      <c r="M33" s="38"/>
      <c r="N33" s="38"/>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row>
    <row r="34" spans="1:27" s="39" customFormat="1" ht="38.25">
      <c r="A34" s="60" t="s">
        <v>56</v>
      </c>
      <c r="B34" s="40" t="s">
        <v>114</v>
      </c>
      <c r="C34" s="33" t="s">
        <v>426</v>
      </c>
      <c r="D34" s="151">
        <v>40330</v>
      </c>
      <c r="E34" s="151">
        <v>39600</v>
      </c>
      <c r="F34" s="158">
        <v>1750000</v>
      </c>
      <c r="G34" s="56" t="s">
        <v>87</v>
      </c>
      <c r="H34" s="160" t="s">
        <v>427</v>
      </c>
      <c r="I34" s="37" t="s">
        <v>428</v>
      </c>
      <c r="J34" s="38"/>
      <c r="K34" s="38"/>
      <c r="L34" s="38"/>
      <c r="M34" s="38"/>
      <c r="N34" s="38"/>
      <c r="O34" s="30"/>
      <c r="P34" s="30"/>
      <c r="Q34" s="30"/>
      <c r="R34" s="30"/>
      <c r="S34" s="30"/>
      <c r="T34" s="30"/>
      <c r="U34" s="30"/>
      <c r="V34" s="30"/>
      <c r="W34" s="30"/>
      <c r="X34" s="30"/>
      <c r="Y34" s="30"/>
      <c r="Z34" s="30"/>
      <c r="AA34" s="30"/>
    </row>
    <row r="35" spans="1:27" s="39" customFormat="1" ht="25.5">
      <c r="A35" s="31" t="s">
        <v>56</v>
      </c>
      <c r="B35" s="32" t="s">
        <v>15</v>
      </c>
      <c r="C35" s="33" t="s">
        <v>139</v>
      </c>
      <c r="D35" s="34" t="s">
        <v>65</v>
      </c>
      <c r="E35" s="34">
        <v>39234</v>
      </c>
      <c r="F35" s="57">
        <v>148000</v>
      </c>
      <c r="G35" s="36" t="s">
        <v>66</v>
      </c>
      <c r="H35" s="37" t="s">
        <v>140</v>
      </c>
      <c r="I35" s="37" t="s">
        <v>141</v>
      </c>
      <c r="J35" s="38" t="s">
        <v>63</v>
      </c>
      <c r="K35" s="38" t="s">
        <v>63</v>
      </c>
      <c r="L35" s="38" t="s">
        <v>63</v>
      </c>
      <c r="M35" s="38" t="s">
        <v>63</v>
      </c>
      <c r="N35" s="38" t="s">
        <v>63</v>
      </c>
      <c r="O35" s="30"/>
      <c r="P35" s="30"/>
      <c r="Q35" s="30"/>
      <c r="R35" s="30"/>
      <c r="S35" s="30"/>
      <c r="T35" s="30"/>
      <c r="U35" s="30"/>
      <c r="V35" s="30"/>
      <c r="W35" s="30"/>
      <c r="X35" s="30"/>
      <c r="Y35" s="30"/>
      <c r="Z35" s="30"/>
      <c r="AA35" s="30"/>
    </row>
    <row r="36" spans="1:27" s="39" customFormat="1" ht="38.25">
      <c r="A36" s="31" t="s">
        <v>56</v>
      </c>
      <c r="B36" s="32" t="s">
        <v>142</v>
      </c>
      <c r="C36" s="33" t="s">
        <v>143</v>
      </c>
      <c r="D36" s="34">
        <v>38777</v>
      </c>
      <c r="E36" s="34" t="s">
        <v>56</v>
      </c>
      <c r="F36" s="35">
        <v>1700000</v>
      </c>
      <c r="G36" s="36" t="s">
        <v>144</v>
      </c>
      <c r="H36" s="37" t="s">
        <v>145</v>
      </c>
      <c r="I36" s="37" t="s">
        <v>146</v>
      </c>
      <c r="J36" s="38" t="s">
        <v>62</v>
      </c>
      <c r="K36" s="38"/>
      <c r="L36" s="38"/>
      <c r="M36" s="38"/>
      <c r="N36" s="38"/>
      <c r="O36" s="30"/>
      <c r="P36" s="30"/>
      <c r="Q36" s="30"/>
      <c r="R36" s="30"/>
      <c r="S36" s="30"/>
      <c r="T36" s="30"/>
      <c r="U36" s="30"/>
      <c r="V36" s="30"/>
      <c r="W36" s="30"/>
      <c r="X36" s="30"/>
      <c r="Y36" s="30"/>
      <c r="Z36" s="30"/>
      <c r="AA36" s="30"/>
    </row>
    <row r="37" spans="1:27" s="39" customFormat="1" ht="25.5">
      <c r="A37" s="58" t="s">
        <v>56</v>
      </c>
      <c r="B37" s="32" t="s">
        <v>142</v>
      </c>
      <c r="C37" s="33" t="s">
        <v>147</v>
      </c>
      <c r="D37" s="34" t="s">
        <v>65</v>
      </c>
      <c r="E37" s="34">
        <v>39234</v>
      </c>
      <c r="F37" s="35">
        <v>590000</v>
      </c>
      <c r="G37" s="36" t="s">
        <v>66</v>
      </c>
      <c r="H37" s="37" t="s">
        <v>148</v>
      </c>
      <c r="I37" s="37" t="s">
        <v>149</v>
      </c>
      <c r="J37" s="38" t="s">
        <v>63</v>
      </c>
      <c r="K37" s="38" t="s">
        <v>63</v>
      </c>
      <c r="L37" s="38" t="s">
        <v>63</v>
      </c>
      <c r="M37" s="38" t="s">
        <v>63</v>
      </c>
      <c r="N37" s="38" t="s">
        <v>63</v>
      </c>
      <c r="O37" s="30"/>
      <c r="P37" s="30"/>
      <c r="Q37" s="30"/>
      <c r="R37" s="30"/>
      <c r="S37" s="30"/>
      <c r="T37" s="30"/>
      <c r="U37" s="30"/>
      <c r="V37" s="30"/>
      <c r="W37" s="30"/>
      <c r="X37" s="30"/>
      <c r="Y37" s="30"/>
      <c r="Z37" s="30"/>
      <c r="AA37" s="30"/>
    </row>
    <row r="38" spans="1:27" s="39" customFormat="1" ht="25.5">
      <c r="A38" s="58" t="s">
        <v>56</v>
      </c>
      <c r="B38" s="32" t="s">
        <v>142</v>
      </c>
      <c r="C38" s="33" t="s">
        <v>150</v>
      </c>
      <c r="D38" s="34" t="s">
        <v>65</v>
      </c>
      <c r="E38" s="34">
        <v>39234</v>
      </c>
      <c r="F38" s="35">
        <v>1250000</v>
      </c>
      <c r="G38" s="36" t="s">
        <v>66</v>
      </c>
      <c r="H38" s="37" t="s">
        <v>151</v>
      </c>
      <c r="I38" s="37" t="s">
        <v>149</v>
      </c>
      <c r="J38" s="38" t="s">
        <v>63</v>
      </c>
      <c r="K38" s="38" t="s">
        <v>63</v>
      </c>
      <c r="L38" s="38" t="s">
        <v>63</v>
      </c>
      <c r="M38" s="38" t="s">
        <v>63</v>
      </c>
      <c r="N38" s="38" t="s">
        <v>63</v>
      </c>
      <c r="O38" s="30"/>
      <c r="P38" s="30"/>
      <c r="Q38" s="30"/>
      <c r="R38" s="30"/>
      <c r="S38" s="30"/>
      <c r="T38" s="30"/>
      <c r="U38" s="30"/>
      <c r="V38" s="30"/>
      <c r="W38" s="30"/>
      <c r="X38" s="30"/>
      <c r="Y38" s="30"/>
      <c r="Z38" s="30"/>
      <c r="AA38" s="30"/>
    </row>
    <row r="39" spans="1:27" s="39" customFormat="1" ht="25.5">
      <c r="A39" s="161" t="s">
        <v>62</v>
      </c>
      <c r="B39" s="32" t="s">
        <v>142</v>
      </c>
      <c r="C39" s="33" t="s">
        <v>152</v>
      </c>
      <c r="D39" s="34" t="s">
        <v>65</v>
      </c>
      <c r="E39" s="34">
        <v>39234</v>
      </c>
      <c r="F39" s="35">
        <v>2360000</v>
      </c>
      <c r="G39" s="36" t="s">
        <v>66</v>
      </c>
      <c r="H39" s="37" t="s">
        <v>153</v>
      </c>
      <c r="I39" s="37" t="s">
        <v>154</v>
      </c>
      <c r="J39" s="38" t="s">
        <v>63</v>
      </c>
      <c r="K39" s="38" t="s">
        <v>63</v>
      </c>
      <c r="L39" s="38" t="s">
        <v>63</v>
      </c>
      <c r="M39" s="38" t="s">
        <v>63</v>
      </c>
      <c r="N39" s="38" t="s">
        <v>63</v>
      </c>
      <c r="O39" s="30"/>
      <c r="P39" s="30"/>
      <c r="Q39" s="30"/>
      <c r="R39" s="30"/>
      <c r="S39" s="30"/>
      <c r="T39" s="30"/>
      <c r="U39" s="30"/>
      <c r="V39" s="30"/>
      <c r="W39" s="30"/>
      <c r="X39" s="30"/>
      <c r="Y39" s="30"/>
      <c r="Z39" s="30"/>
      <c r="AA39" s="30"/>
    </row>
    <row r="40" spans="1:27" s="39" customFormat="1" ht="38.25">
      <c r="A40" s="31" t="s">
        <v>56</v>
      </c>
      <c r="B40" s="32" t="s">
        <v>142</v>
      </c>
      <c r="C40" s="33" t="s">
        <v>156</v>
      </c>
      <c r="D40" s="34">
        <v>39264</v>
      </c>
      <c r="E40" s="34">
        <v>39600</v>
      </c>
      <c r="F40" s="35">
        <v>143000</v>
      </c>
      <c r="G40" s="36" t="s">
        <v>96</v>
      </c>
      <c r="H40" s="37" t="s">
        <v>157</v>
      </c>
      <c r="I40" s="37" t="s">
        <v>158</v>
      </c>
      <c r="J40" s="38" t="s">
        <v>63</v>
      </c>
      <c r="K40" s="38" t="s">
        <v>63</v>
      </c>
      <c r="L40" s="38" t="s">
        <v>63</v>
      </c>
      <c r="M40" s="38" t="s">
        <v>63</v>
      </c>
      <c r="N40" s="38" t="s">
        <v>63</v>
      </c>
      <c r="P40" s="30"/>
      <c r="Q40" s="30"/>
      <c r="R40" s="30"/>
      <c r="S40" s="30"/>
      <c r="T40" s="30"/>
      <c r="U40" s="30"/>
      <c r="V40" s="30"/>
      <c r="W40" s="30"/>
      <c r="X40" s="30"/>
      <c r="Y40" s="30"/>
      <c r="Z40" s="30"/>
      <c r="AA40" s="30"/>
    </row>
    <row r="41" spans="1:27" s="39" customFormat="1" ht="25.5">
      <c r="A41" s="58" t="s">
        <v>56</v>
      </c>
      <c r="B41" s="32" t="s">
        <v>142</v>
      </c>
      <c r="C41" s="33" t="s">
        <v>160</v>
      </c>
      <c r="D41" s="34" t="s">
        <v>95</v>
      </c>
      <c r="E41" s="34">
        <v>39600</v>
      </c>
      <c r="F41" s="57">
        <v>250000</v>
      </c>
      <c r="G41" s="36" t="s">
        <v>87</v>
      </c>
      <c r="H41" s="37" t="s">
        <v>161</v>
      </c>
      <c r="I41" s="37" t="s">
        <v>162</v>
      </c>
      <c r="J41" s="38"/>
      <c r="K41" s="38"/>
      <c r="L41" s="38"/>
      <c r="M41" s="38"/>
      <c r="N41" s="38"/>
      <c r="O41" s="30"/>
      <c r="P41" s="30"/>
      <c r="Q41" s="30"/>
      <c r="R41" s="30"/>
      <c r="S41" s="30"/>
      <c r="T41" s="30"/>
      <c r="U41" s="30"/>
      <c r="V41" s="30"/>
      <c r="W41" s="30"/>
      <c r="X41" s="30"/>
      <c r="Y41" s="30"/>
      <c r="Z41" s="30"/>
      <c r="AA41" s="30"/>
    </row>
    <row r="42" spans="1:27" s="39" customFormat="1" ht="25.5">
      <c r="A42" s="58" t="s">
        <v>56</v>
      </c>
      <c r="B42" s="32" t="s">
        <v>142</v>
      </c>
      <c r="C42" s="33" t="s">
        <v>163</v>
      </c>
      <c r="D42" s="34" t="s">
        <v>95</v>
      </c>
      <c r="E42" s="34">
        <v>39600</v>
      </c>
      <c r="F42" s="35">
        <v>390000</v>
      </c>
      <c r="G42" s="36" t="s">
        <v>87</v>
      </c>
      <c r="H42" s="37" t="s">
        <v>164</v>
      </c>
      <c r="I42" s="37" t="s">
        <v>162</v>
      </c>
      <c r="J42" s="38" t="s">
        <v>63</v>
      </c>
      <c r="K42" s="38" t="s">
        <v>63</v>
      </c>
      <c r="L42" s="38" t="s">
        <v>63</v>
      </c>
      <c r="M42" s="38" t="s">
        <v>63</v>
      </c>
      <c r="N42" s="38" t="s">
        <v>63</v>
      </c>
      <c r="O42" s="30"/>
      <c r="P42" s="30"/>
      <c r="Q42" s="30"/>
      <c r="R42" s="30"/>
      <c r="S42" s="30"/>
      <c r="T42" s="30"/>
      <c r="U42" s="30"/>
      <c r="V42" s="30"/>
      <c r="W42" s="30"/>
      <c r="X42" s="30"/>
      <c r="Y42" s="30"/>
      <c r="Z42" s="30"/>
      <c r="AA42" s="30"/>
    </row>
    <row r="43" spans="1:27" s="39" customFormat="1" ht="25.5">
      <c r="A43" s="58" t="s">
        <v>56</v>
      </c>
      <c r="B43" s="40" t="s">
        <v>142</v>
      </c>
      <c r="C43" s="33" t="s">
        <v>165</v>
      </c>
      <c r="D43" s="34">
        <v>39629</v>
      </c>
      <c r="E43" s="34">
        <v>39234</v>
      </c>
      <c r="F43" s="35">
        <v>550000</v>
      </c>
      <c r="G43" s="36" t="s">
        <v>66</v>
      </c>
      <c r="H43" s="41" t="s">
        <v>166</v>
      </c>
      <c r="I43" s="37" t="s">
        <v>167</v>
      </c>
      <c r="J43" s="38" t="s">
        <v>63</v>
      </c>
      <c r="K43" s="38" t="s">
        <v>63</v>
      </c>
      <c r="L43" s="38" t="s">
        <v>63</v>
      </c>
      <c r="M43" s="38" t="s">
        <v>63</v>
      </c>
      <c r="N43" s="38" t="s">
        <v>63</v>
      </c>
      <c r="O43" s="30"/>
      <c r="P43" s="30"/>
      <c r="Q43" s="30"/>
      <c r="R43" s="30"/>
      <c r="S43" s="30"/>
      <c r="T43" s="30"/>
      <c r="U43" s="30"/>
      <c r="V43" s="30"/>
      <c r="W43" s="30"/>
      <c r="X43" s="30"/>
      <c r="Y43" s="30"/>
      <c r="Z43" s="30"/>
      <c r="AA43" s="30"/>
    </row>
    <row r="44" spans="1:27" s="39" customFormat="1" ht="51">
      <c r="A44" s="61" t="s">
        <v>62</v>
      </c>
      <c r="B44" s="32" t="s">
        <v>142</v>
      </c>
      <c r="C44" s="32" t="s">
        <v>169</v>
      </c>
      <c r="D44" s="34">
        <v>39813</v>
      </c>
      <c r="E44" s="34" t="s">
        <v>56</v>
      </c>
      <c r="F44" s="35">
        <v>1900000</v>
      </c>
      <c r="G44" s="37" t="s">
        <v>170</v>
      </c>
      <c r="H44" s="37" t="s">
        <v>171</v>
      </c>
      <c r="I44" s="37" t="s">
        <v>172</v>
      </c>
      <c r="J44" s="38"/>
      <c r="K44" s="38"/>
      <c r="L44" s="38"/>
      <c r="M44" s="38"/>
      <c r="N44" s="38"/>
      <c r="O44" s="30"/>
      <c r="P44" s="30"/>
      <c r="Q44" s="30"/>
      <c r="R44" s="30"/>
      <c r="S44" s="30"/>
      <c r="T44" s="30"/>
      <c r="U44" s="30"/>
      <c r="V44" s="30"/>
      <c r="W44" s="30"/>
      <c r="X44" s="30"/>
      <c r="Y44" s="30"/>
      <c r="Z44" s="30"/>
      <c r="AA44" s="30"/>
    </row>
    <row r="45" spans="1:15" s="39" customFormat="1" ht="25.5">
      <c r="A45" s="59" t="s">
        <v>56</v>
      </c>
      <c r="B45" s="33" t="s">
        <v>142</v>
      </c>
      <c r="C45" s="33" t="s">
        <v>429</v>
      </c>
      <c r="D45" s="151">
        <v>39995</v>
      </c>
      <c r="E45" s="151">
        <v>39234</v>
      </c>
      <c r="F45" s="158">
        <v>1700000</v>
      </c>
      <c r="G45" s="159" t="s">
        <v>430</v>
      </c>
      <c r="H45" s="160" t="s">
        <v>431</v>
      </c>
      <c r="I45" s="37" t="s">
        <v>432</v>
      </c>
      <c r="J45" s="38"/>
      <c r="K45" s="38"/>
      <c r="L45" s="38"/>
      <c r="M45" s="38"/>
      <c r="N45" s="38"/>
      <c r="O45" s="30"/>
    </row>
    <row r="46" spans="1:27" s="39" customFormat="1" ht="89.25">
      <c r="A46" s="59" t="s">
        <v>62</v>
      </c>
      <c r="B46" s="33" t="s">
        <v>142</v>
      </c>
      <c r="C46" s="33" t="s">
        <v>433</v>
      </c>
      <c r="D46" s="151">
        <v>39995</v>
      </c>
      <c r="E46" s="151">
        <v>39234</v>
      </c>
      <c r="F46" s="158">
        <v>2500000</v>
      </c>
      <c r="G46" s="159" t="s">
        <v>430</v>
      </c>
      <c r="H46" s="160" t="s">
        <v>434</v>
      </c>
      <c r="I46" s="37" t="s">
        <v>435</v>
      </c>
      <c r="J46" s="38"/>
      <c r="K46" s="38"/>
      <c r="L46" s="38"/>
      <c r="M46" s="38"/>
      <c r="N46" s="38"/>
      <c r="O46" s="30"/>
      <c r="P46" s="30"/>
      <c r="Q46" s="30"/>
      <c r="R46" s="30"/>
      <c r="S46" s="30"/>
      <c r="T46" s="30"/>
      <c r="U46" s="30"/>
      <c r="V46" s="30"/>
      <c r="W46" s="30"/>
      <c r="X46" s="30"/>
      <c r="Y46" s="30"/>
      <c r="Z46" s="30"/>
      <c r="AA46" s="30"/>
    </row>
    <row r="47" spans="1:15" ht="51">
      <c r="A47" s="59" t="s">
        <v>56</v>
      </c>
      <c r="B47" s="33" t="s">
        <v>142</v>
      </c>
      <c r="C47" s="33" t="s">
        <v>436</v>
      </c>
      <c r="D47" s="34">
        <v>40360</v>
      </c>
      <c r="E47" s="34">
        <v>39600</v>
      </c>
      <c r="F47" s="35">
        <v>500000</v>
      </c>
      <c r="G47" s="36" t="s">
        <v>87</v>
      </c>
      <c r="H47" s="162" t="s">
        <v>155</v>
      </c>
      <c r="I47" s="37" t="s">
        <v>437</v>
      </c>
      <c r="J47" s="38"/>
      <c r="K47" s="38"/>
      <c r="L47" s="38"/>
      <c r="M47" s="38"/>
      <c r="N47" s="38"/>
      <c r="O47" s="30"/>
    </row>
    <row r="48" spans="1:14" ht="25.5">
      <c r="A48" s="58" t="s">
        <v>56</v>
      </c>
      <c r="B48" s="40" t="s">
        <v>10</v>
      </c>
      <c r="C48" s="33" t="s">
        <v>173</v>
      </c>
      <c r="D48" s="34">
        <v>38869</v>
      </c>
      <c r="E48" s="34" t="s">
        <v>56</v>
      </c>
      <c r="F48" s="54">
        <v>90000</v>
      </c>
      <c r="G48" s="56" t="s">
        <v>174</v>
      </c>
      <c r="H48" s="41" t="s">
        <v>175</v>
      </c>
      <c r="I48" s="37" t="s">
        <v>176</v>
      </c>
      <c r="J48" s="38" t="s">
        <v>63</v>
      </c>
      <c r="K48" s="38" t="s">
        <v>63</v>
      </c>
      <c r="L48" s="38" t="s">
        <v>63</v>
      </c>
      <c r="M48" s="38" t="s">
        <v>63</v>
      </c>
      <c r="N48" s="38" t="s">
        <v>63</v>
      </c>
    </row>
    <row r="49" spans="1:14" ht="25.5">
      <c r="A49" s="58" t="s">
        <v>56</v>
      </c>
      <c r="B49" s="32" t="s">
        <v>10</v>
      </c>
      <c r="C49" s="33" t="s">
        <v>177</v>
      </c>
      <c r="D49" s="34" t="s">
        <v>65</v>
      </c>
      <c r="E49" s="34">
        <v>39234</v>
      </c>
      <c r="F49" s="62">
        <v>912000</v>
      </c>
      <c r="G49" s="36" t="s">
        <v>66</v>
      </c>
      <c r="H49" s="37" t="s">
        <v>178</v>
      </c>
      <c r="I49" s="37" t="s">
        <v>179</v>
      </c>
      <c r="J49" s="38" t="s">
        <v>63</v>
      </c>
      <c r="K49" s="38" t="s">
        <v>63</v>
      </c>
      <c r="L49" s="38" t="s">
        <v>63</v>
      </c>
      <c r="M49" s="38" t="s">
        <v>63</v>
      </c>
      <c r="N49" s="38" t="s">
        <v>63</v>
      </c>
    </row>
    <row r="50" spans="1:14" ht="25.5">
      <c r="A50" s="58" t="s">
        <v>56</v>
      </c>
      <c r="B50" s="40" t="s">
        <v>10</v>
      </c>
      <c r="C50" s="33" t="s">
        <v>180</v>
      </c>
      <c r="D50" s="34" t="s">
        <v>65</v>
      </c>
      <c r="E50" s="34">
        <v>39234</v>
      </c>
      <c r="F50" s="54">
        <v>108000</v>
      </c>
      <c r="G50" s="56" t="s">
        <v>66</v>
      </c>
      <c r="H50" s="41" t="s">
        <v>181</v>
      </c>
      <c r="I50" s="37" t="s">
        <v>182</v>
      </c>
      <c r="J50" s="38"/>
      <c r="K50" s="38"/>
      <c r="L50" s="38"/>
      <c r="M50" s="38"/>
      <c r="N50" s="38"/>
    </row>
    <row r="51" spans="1:14" ht="25.5">
      <c r="A51" s="58" t="s">
        <v>56</v>
      </c>
      <c r="B51" s="40" t="s">
        <v>10</v>
      </c>
      <c r="C51" s="33" t="s">
        <v>183</v>
      </c>
      <c r="D51" s="34" t="s">
        <v>65</v>
      </c>
      <c r="E51" s="34">
        <v>39234</v>
      </c>
      <c r="F51" s="54">
        <v>350000</v>
      </c>
      <c r="G51" s="56" t="s">
        <v>66</v>
      </c>
      <c r="H51" s="41" t="s">
        <v>184</v>
      </c>
      <c r="I51" s="37" t="s">
        <v>185</v>
      </c>
      <c r="J51" s="38" t="s">
        <v>63</v>
      </c>
      <c r="K51" s="38" t="s">
        <v>63</v>
      </c>
      <c r="L51" s="38" t="s">
        <v>63</v>
      </c>
      <c r="M51" s="38" t="s">
        <v>63</v>
      </c>
      <c r="N51" s="38" t="s">
        <v>63</v>
      </c>
    </row>
    <row r="52" spans="1:15" s="43" customFormat="1" ht="25.5">
      <c r="A52" s="58" t="s">
        <v>56</v>
      </c>
      <c r="B52" s="40" t="s">
        <v>10</v>
      </c>
      <c r="C52" s="33" t="s">
        <v>186</v>
      </c>
      <c r="D52" s="34" t="s">
        <v>65</v>
      </c>
      <c r="E52" s="34">
        <v>39173</v>
      </c>
      <c r="F52" s="54">
        <v>216000</v>
      </c>
      <c r="G52" s="36" t="s">
        <v>66</v>
      </c>
      <c r="H52" s="41" t="s">
        <v>187</v>
      </c>
      <c r="I52" s="37" t="s">
        <v>188</v>
      </c>
      <c r="J52" s="38" t="s">
        <v>63</v>
      </c>
      <c r="K52" s="38" t="s">
        <v>63</v>
      </c>
      <c r="L52" s="38" t="s">
        <v>63</v>
      </c>
      <c r="M52" s="38" t="s">
        <v>63</v>
      </c>
      <c r="N52" s="38" t="s">
        <v>63</v>
      </c>
      <c r="O52" s="16"/>
    </row>
    <row r="53" spans="1:14" s="43" customFormat="1" ht="25.5">
      <c r="A53" s="58" t="s">
        <v>56</v>
      </c>
      <c r="B53" s="40" t="s">
        <v>10</v>
      </c>
      <c r="C53" s="33" t="s">
        <v>189</v>
      </c>
      <c r="D53" s="34" t="s">
        <v>65</v>
      </c>
      <c r="E53" s="34">
        <v>39173</v>
      </c>
      <c r="F53" s="54">
        <v>100000</v>
      </c>
      <c r="G53" s="36" t="s">
        <v>66</v>
      </c>
      <c r="H53" s="41" t="s">
        <v>190</v>
      </c>
      <c r="I53" s="37" t="s">
        <v>185</v>
      </c>
      <c r="J53" s="38" t="s">
        <v>63</v>
      </c>
      <c r="K53" s="38" t="s">
        <v>63</v>
      </c>
      <c r="L53" s="38" t="s">
        <v>63</v>
      </c>
      <c r="M53" s="38" t="s">
        <v>63</v>
      </c>
      <c r="N53" s="38" t="s">
        <v>63</v>
      </c>
    </row>
    <row r="54" spans="1:14" s="43" customFormat="1" ht="25.5">
      <c r="A54" s="58" t="s">
        <v>56</v>
      </c>
      <c r="B54" s="32" t="s">
        <v>10</v>
      </c>
      <c r="C54" s="33" t="s">
        <v>191</v>
      </c>
      <c r="D54" s="34" t="s">
        <v>192</v>
      </c>
      <c r="E54" s="34">
        <v>39417</v>
      </c>
      <c r="F54" s="62">
        <v>1656000</v>
      </c>
      <c r="G54" s="36" t="s">
        <v>193</v>
      </c>
      <c r="H54" s="37" t="s">
        <v>194</v>
      </c>
      <c r="I54" s="37" t="s">
        <v>195</v>
      </c>
      <c r="J54" s="38"/>
      <c r="K54" s="38"/>
      <c r="L54" s="38"/>
      <c r="M54" s="38"/>
      <c r="N54" s="38"/>
    </row>
    <row r="55" spans="1:208" s="43" customFormat="1" ht="25.5">
      <c r="A55" s="58" t="s">
        <v>56</v>
      </c>
      <c r="B55" s="32" t="s">
        <v>10</v>
      </c>
      <c r="C55" s="33" t="s">
        <v>196</v>
      </c>
      <c r="D55" s="34" t="s">
        <v>192</v>
      </c>
      <c r="E55" s="34">
        <v>39417</v>
      </c>
      <c r="F55" s="62">
        <v>1488000</v>
      </c>
      <c r="G55" s="36" t="s">
        <v>193</v>
      </c>
      <c r="H55" s="37" t="s">
        <v>197</v>
      </c>
      <c r="I55" s="37" t="s">
        <v>198</v>
      </c>
      <c r="J55" s="38"/>
      <c r="K55" s="38"/>
      <c r="L55" s="38"/>
      <c r="M55" s="38"/>
      <c r="N55" s="38"/>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row>
    <row r="56" spans="1:208" s="43" customFormat="1" ht="51">
      <c r="A56" s="61" t="s">
        <v>62</v>
      </c>
      <c r="B56" s="32" t="s">
        <v>10</v>
      </c>
      <c r="C56" s="33" t="s">
        <v>199</v>
      </c>
      <c r="D56" s="34" t="s">
        <v>95</v>
      </c>
      <c r="E56" s="34">
        <v>39600</v>
      </c>
      <c r="F56" s="62">
        <v>12000000</v>
      </c>
      <c r="G56" s="36" t="s">
        <v>87</v>
      </c>
      <c r="H56" s="37" t="s">
        <v>200</v>
      </c>
      <c r="I56" s="37" t="s">
        <v>201</v>
      </c>
      <c r="J56" s="38" t="s">
        <v>63</v>
      </c>
      <c r="K56" s="38" t="s">
        <v>63</v>
      </c>
      <c r="L56" s="38" t="s">
        <v>63</v>
      </c>
      <c r="M56" s="38" t="s">
        <v>63</v>
      </c>
      <c r="N56" s="38" t="s">
        <v>63</v>
      </c>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row>
    <row r="57" spans="1:208" s="43" customFormat="1" ht="12.75">
      <c r="A57" s="17"/>
      <c r="B57" s="16" t="s">
        <v>202</v>
      </c>
      <c r="C57" s="63"/>
      <c r="D57" s="16"/>
      <c r="E57" s="16"/>
      <c r="F57" s="16"/>
      <c r="G57" s="16"/>
      <c r="H57" s="21"/>
      <c r="I57" s="16"/>
      <c r="J57" s="38"/>
      <c r="K57" s="38"/>
      <c r="L57" s="38"/>
      <c r="M57" s="38"/>
      <c r="N57" s="38"/>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row>
    <row r="58" spans="5:6" ht="12.75">
      <c r="E58" s="64" t="s">
        <v>203</v>
      </c>
      <c r="F58" s="65">
        <f>SUM(F6:F56)</f>
        <v>103867808.22</v>
      </c>
    </row>
    <row r="61" ht="23.25">
      <c r="B61" s="66" t="s">
        <v>204</v>
      </c>
    </row>
    <row r="62" spans="1:9" ht="38.25">
      <c r="A62" s="26" t="s">
        <v>47</v>
      </c>
      <c r="B62" s="26" t="s">
        <v>48</v>
      </c>
      <c r="C62" s="26" t="s">
        <v>49</v>
      </c>
      <c r="D62" s="27" t="s">
        <v>50</v>
      </c>
      <c r="E62" s="27" t="s">
        <v>51</v>
      </c>
      <c r="F62" s="28" t="s">
        <v>52</v>
      </c>
      <c r="G62" s="26" t="s">
        <v>53</v>
      </c>
      <c r="H62" s="29" t="s">
        <v>54</v>
      </c>
      <c r="I62" s="26" t="s">
        <v>55</v>
      </c>
    </row>
    <row r="63" spans="1:14" ht="12.75">
      <c r="A63" s="44" t="s">
        <v>56</v>
      </c>
      <c r="B63" s="45" t="s">
        <v>57</v>
      </c>
      <c r="C63" s="46" t="s">
        <v>205</v>
      </c>
      <c r="D63" s="47">
        <v>38808</v>
      </c>
      <c r="E63" s="47" t="s">
        <v>56</v>
      </c>
      <c r="F63" s="67">
        <v>84000</v>
      </c>
      <c r="G63" s="49" t="s">
        <v>206</v>
      </c>
      <c r="H63" s="50" t="s">
        <v>207</v>
      </c>
      <c r="I63" s="50" t="s">
        <v>208</v>
      </c>
      <c r="J63" s="68"/>
      <c r="K63" s="68"/>
      <c r="L63" s="68"/>
      <c r="M63" s="68"/>
      <c r="N63" s="68"/>
    </row>
    <row r="64" spans="1:14" ht="12.75">
      <c r="A64" s="44" t="s">
        <v>56</v>
      </c>
      <c r="B64" s="45" t="s">
        <v>57</v>
      </c>
      <c r="C64" s="46" t="s">
        <v>209</v>
      </c>
      <c r="D64" s="47">
        <v>39600</v>
      </c>
      <c r="E64" s="47">
        <v>41426</v>
      </c>
      <c r="F64" s="67">
        <v>73348</v>
      </c>
      <c r="G64" s="49" t="s">
        <v>206</v>
      </c>
      <c r="H64" s="50" t="s">
        <v>210</v>
      </c>
      <c r="I64" s="50" t="s">
        <v>211</v>
      </c>
      <c r="J64" s="52" t="s">
        <v>63</v>
      </c>
      <c r="K64" s="52" t="s">
        <v>63</v>
      </c>
      <c r="L64" s="52" t="s">
        <v>63</v>
      </c>
      <c r="M64" s="52" t="s">
        <v>63</v>
      </c>
      <c r="N64" s="52" t="s">
        <v>63</v>
      </c>
    </row>
    <row r="65" spans="1:14" ht="12.75">
      <c r="A65" s="44" t="s">
        <v>56</v>
      </c>
      <c r="B65" s="45" t="s">
        <v>57</v>
      </c>
      <c r="C65" s="46" t="s">
        <v>212</v>
      </c>
      <c r="D65" s="47">
        <v>39600</v>
      </c>
      <c r="E65" s="47">
        <v>41426</v>
      </c>
      <c r="F65" s="67">
        <v>75000</v>
      </c>
      <c r="G65" s="49" t="s">
        <v>206</v>
      </c>
      <c r="H65" s="50" t="s">
        <v>213</v>
      </c>
      <c r="I65" s="50" t="s">
        <v>214</v>
      </c>
      <c r="J65" s="52"/>
      <c r="K65" s="52"/>
      <c r="L65" s="52"/>
      <c r="M65" s="52"/>
      <c r="N65" s="52"/>
    </row>
    <row r="66" spans="1:14" ht="25.5">
      <c r="A66" s="44" t="s">
        <v>56</v>
      </c>
      <c r="B66" s="45" t="s">
        <v>9</v>
      </c>
      <c r="C66" s="46" t="s">
        <v>215</v>
      </c>
      <c r="D66" s="47">
        <v>39600</v>
      </c>
      <c r="E66" s="69">
        <v>39234</v>
      </c>
      <c r="F66" s="48">
        <v>120000</v>
      </c>
      <c r="G66" s="49" t="s">
        <v>206</v>
      </c>
      <c r="H66" s="51" t="s">
        <v>216</v>
      </c>
      <c r="I66" s="51" t="s">
        <v>211</v>
      </c>
      <c r="J66" s="52" t="s">
        <v>62</v>
      </c>
      <c r="K66" s="52" t="s">
        <v>62</v>
      </c>
      <c r="L66" s="52" t="s">
        <v>63</v>
      </c>
      <c r="M66" s="52" t="s">
        <v>63</v>
      </c>
      <c r="N66" s="52" t="s">
        <v>63</v>
      </c>
    </row>
    <row r="67" spans="1:14" ht="12.75">
      <c r="A67" s="44" t="s">
        <v>56</v>
      </c>
      <c r="B67" s="45" t="s">
        <v>10</v>
      </c>
      <c r="C67" s="46" t="s">
        <v>215</v>
      </c>
      <c r="D67" s="47">
        <v>39600</v>
      </c>
      <c r="E67" s="47">
        <v>39234</v>
      </c>
      <c r="F67" s="48">
        <v>750000</v>
      </c>
      <c r="G67" s="49" t="s">
        <v>206</v>
      </c>
      <c r="H67" s="70" t="s">
        <v>217</v>
      </c>
      <c r="I67" s="51" t="s">
        <v>211</v>
      </c>
      <c r="J67" s="52" t="s">
        <v>63</v>
      </c>
      <c r="K67" s="52" t="s">
        <v>63</v>
      </c>
      <c r="L67" s="52" t="s">
        <v>63</v>
      </c>
      <c r="M67" s="52" t="s">
        <v>63</v>
      </c>
      <c r="N67" s="52" t="s">
        <v>63</v>
      </c>
    </row>
    <row r="69" ht="12.75">
      <c r="F69" s="65">
        <f>SUM(F63:F67)</f>
        <v>1102348</v>
      </c>
    </row>
  </sheetData>
  <autoFilter ref="A5:GZ58"/>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A57"/>
  <sheetViews>
    <sheetView showGridLines="0" zoomScale="85" zoomScaleNormal="85" workbookViewId="0" topLeftCell="B40">
      <selection activeCell="H63" sqref="H63"/>
    </sheetView>
  </sheetViews>
  <sheetFormatPr defaultColWidth="9.140625" defaultRowHeight="12.75"/>
  <cols>
    <col min="1" max="1" width="0" style="0" hidden="1" customWidth="1"/>
    <col min="2" max="2" width="9.140625" style="71" customWidth="1"/>
    <col min="3" max="3" width="9.8515625" style="0" customWidth="1"/>
    <col min="4" max="4" width="47.7109375" style="0" bestFit="1" customWidth="1"/>
    <col min="5" max="5" width="11.7109375" style="0" customWidth="1"/>
    <col min="6" max="6" width="12.8515625" style="0" customWidth="1"/>
    <col min="7" max="7" width="12.57421875" style="0" bestFit="1" customWidth="1"/>
    <col min="8" max="8" width="43.421875" style="0" customWidth="1"/>
    <col min="9" max="9" width="36.140625" style="0" customWidth="1"/>
    <col min="10" max="10" width="72.00390625" style="0" customWidth="1"/>
    <col min="11" max="15" width="0" style="0" hidden="1" customWidth="1"/>
  </cols>
  <sheetData>
    <row r="1" ht="54" customHeight="1">
      <c r="C1" s="18"/>
    </row>
    <row r="2" spans="2:15" s="16" customFormat="1" ht="23.25" customHeight="1">
      <c r="B2" s="17"/>
      <c r="C2" s="18" t="s">
        <v>218</v>
      </c>
      <c r="D2" s="19"/>
      <c r="E2" s="19"/>
      <c r="F2" s="19"/>
      <c r="G2" s="19"/>
      <c r="H2" s="20"/>
      <c r="I2" s="21"/>
      <c r="K2" s="22" t="s">
        <v>39</v>
      </c>
      <c r="L2" s="22" t="s">
        <v>40</v>
      </c>
      <c r="M2" s="22" t="s">
        <v>41</v>
      </c>
      <c r="N2" s="22" t="s">
        <v>42</v>
      </c>
      <c r="O2" s="22" t="s">
        <v>43</v>
      </c>
    </row>
    <row r="3" spans="2:15" s="16" customFormat="1" ht="23.25" customHeight="1">
      <c r="B3" s="17"/>
      <c r="C3" s="66"/>
      <c r="D3" s="25"/>
      <c r="E3" s="25"/>
      <c r="F3" s="25"/>
      <c r="G3" s="25"/>
      <c r="H3" s="20"/>
      <c r="I3" s="21"/>
      <c r="K3" s="22"/>
      <c r="L3" s="22"/>
      <c r="M3" s="22"/>
      <c r="N3" s="22"/>
      <c r="O3" s="22"/>
    </row>
    <row r="4" spans="2:15" s="16" customFormat="1" ht="38.25" customHeight="1">
      <c r="B4" s="26" t="s">
        <v>219</v>
      </c>
      <c r="C4" s="26" t="s">
        <v>48</v>
      </c>
      <c r="D4" s="26" t="s">
        <v>49</v>
      </c>
      <c r="E4" s="27" t="s">
        <v>50</v>
      </c>
      <c r="F4" s="27" t="s">
        <v>51</v>
      </c>
      <c r="G4" s="28" t="s">
        <v>52</v>
      </c>
      <c r="H4" s="26" t="s">
        <v>53</v>
      </c>
      <c r="I4" s="29" t="s">
        <v>54</v>
      </c>
      <c r="J4" s="26" t="s">
        <v>55</v>
      </c>
      <c r="K4" s="26"/>
      <c r="L4" s="26"/>
      <c r="M4" s="26"/>
      <c r="N4" s="26"/>
      <c r="O4" s="26"/>
    </row>
    <row r="5" spans="1:15" s="30" customFormat="1" ht="38.25" customHeight="1">
      <c r="A5" s="30" t="s">
        <v>399</v>
      </c>
      <c r="B5" s="31" t="s">
        <v>56</v>
      </c>
      <c r="C5" s="40" t="s">
        <v>57</v>
      </c>
      <c r="D5" s="33" t="s">
        <v>220</v>
      </c>
      <c r="E5" s="34">
        <v>38838</v>
      </c>
      <c r="F5" s="34" t="s">
        <v>56</v>
      </c>
      <c r="G5" s="35">
        <v>640000</v>
      </c>
      <c r="H5" s="36" t="s">
        <v>221</v>
      </c>
      <c r="I5" s="41" t="s">
        <v>222</v>
      </c>
      <c r="J5" s="37" t="s">
        <v>223</v>
      </c>
      <c r="K5" s="72"/>
      <c r="L5" s="72"/>
      <c r="M5" s="72"/>
      <c r="N5" s="72"/>
      <c r="O5" s="72"/>
    </row>
    <row r="6" spans="1:209" s="30" customFormat="1" ht="51">
      <c r="A6" s="30" t="s">
        <v>399</v>
      </c>
      <c r="B6" s="31" t="s">
        <v>56</v>
      </c>
      <c r="C6" s="40" t="s">
        <v>57</v>
      </c>
      <c r="D6" s="33" t="s">
        <v>224</v>
      </c>
      <c r="E6" s="34">
        <v>38869</v>
      </c>
      <c r="F6" s="34" t="s">
        <v>56</v>
      </c>
      <c r="G6" s="35">
        <v>432000</v>
      </c>
      <c r="H6" s="56" t="s">
        <v>225</v>
      </c>
      <c r="I6" s="41" t="s">
        <v>155</v>
      </c>
      <c r="J6" s="37" t="s">
        <v>226</v>
      </c>
      <c r="K6" s="38" t="s">
        <v>62</v>
      </c>
      <c r="L6" s="38" t="s">
        <v>62</v>
      </c>
      <c r="M6" s="38" t="s">
        <v>63</v>
      </c>
      <c r="N6" s="38" t="s">
        <v>63</v>
      </c>
      <c r="O6" s="38" t="s">
        <v>63</v>
      </c>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row>
    <row r="7" spans="1:209" s="30" customFormat="1" ht="51">
      <c r="A7" s="30" t="s">
        <v>399</v>
      </c>
      <c r="B7" s="31" t="s">
        <v>56</v>
      </c>
      <c r="C7" s="40" t="s">
        <v>57</v>
      </c>
      <c r="D7" s="33" t="s">
        <v>227</v>
      </c>
      <c r="E7" s="34">
        <v>38869</v>
      </c>
      <c r="F7" s="34" t="s">
        <v>56</v>
      </c>
      <c r="G7" s="35">
        <v>394000</v>
      </c>
      <c r="H7" s="56" t="s">
        <v>225</v>
      </c>
      <c r="I7" s="41" t="s">
        <v>155</v>
      </c>
      <c r="J7" s="37" t="s">
        <v>228</v>
      </c>
      <c r="K7" s="38" t="s">
        <v>62</v>
      </c>
      <c r="L7" s="38" t="s">
        <v>62</v>
      </c>
      <c r="M7" s="38" t="s">
        <v>63</v>
      </c>
      <c r="N7" s="38" t="s">
        <v>63</v>
      </c>
      <c r="O7" s="38" t="s">
        <v>63</v>
      </c>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row>
    <row r="8" spans="1:209" s="30" customFormat="1" ht="25.5">
      <c r="A8" s="30" t="s">
        <v>399</v>
      </c>
      <c r="B8" s="73" t="s">
        <v>56</v>
      </c>
      <c r="C8" s="33" t="s">
        <v>57</v>
      </c>
      <c r="D8" s="33" t="s">
        <v>229</v>
      </c>
      <c r="E8" s="34">
        <v>38869</v>
      </c>
      <c r="F8" s="34" t="s">
        <v>56</v>
      </c>
      <c r="G8" s="35">
        <v>690000</v>
      </c>
      <c r="H8" s="36" t="s">
        <v>230</v>
      </c>
      <c r="I8" s="37" t="s">
        <v>231</v>
      </c>
      <c r="J8" s="37" t="s">
        <v>232</v>
      </c>
      <c r="K8" s="38" t="s">
        <v>62</v>
      </c>
      <c r="L8" s="38" t="s">
        <v>62</v>
      </c>
      <c r="M8" s="38" t="s">
        <v>63</v>
      </c>
      <c r="N8" s="38" t="s">
        <v>63</v>
      </c>
      <c r="O8" s="38" t="s">
        <v>63</v>
      </c>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row>
    <row r="9" spans="1:209" s="30" customFormat="1" ht="25.5">
      <c r="A9" s="30" t="s">
        <v>399</v>
      </c>
      <c r="B9" s="42" t="s">
        <v>62</v>
      </c>
      <c r="C9" s="33" t="s">
        <v>57</v>
      </c>
      <c r="D9" s="33" t="s">
        <v>233</v>
      </c>
      <c r="E9" s="34">
        <v>39203</v>
      </c>
      <c r="F9" s="34" t="s">
        <v>56</v>
      </c>
      <c r="G9" s="35">
        <v>6627225</v>
      </c>
      <c r="H9" s="36" t="s">
        <v>234</v>
      </c>
      <c r="I9" s="37" t="s">
        <v>235</v>
      </c>
      <c r="J9" s="37" t="s">
        <v>236</v>
      </c>
      <c r="K9" s="38" t="s">
        <v>63</v>
      </c>
      <c r="L9" s="38" t="s">
        <v>63</v>
      </c>
      <c r="M9" s="38" t="s">
        <v>63</v>
      </c>
      <c r="N9" s="38" t="s">
        <v>63</v>
      </c>
      <c r="O9" s="38" t="s">
        <v>63</v>
      </c>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row>
    <row r="10" spans="1:209" s="30" customFormat="1" ht="25.5">
      <c r="A10" s="30" t="s">
        <v>399</v>
      </c>
      <c r="B10" s="31" t="s">
        <v>56</v>
      </c>
      <c r="C10" s="33" t="s">
        <v>57</v>
      </c>
      <c r="D10" s="33" t="s">
        <v>237</v>
      </c>
      <c r="E10" s="34">
        <v>39203</v>
      </c>
      <c r="F10" s="34" t="s">
        <v>56</v>
      </c>
      <c r="G10" s="35">
        <v>130000</v>
      </c>
      <c r="H10" s="36" t="s">
        <v>238</v>
      </c>
      <c r="I10" s="37" t="s">
        <v>239</v>
      </c>
      <c r="J10" s="37" t="s">
        <v>240</v>
      </c>
      <c r="K10" s="38" t="s">
        <v>63</v>
      </c>
      <c r="L10" s="38" t="s">
        <v>63</v>
      </c>
      <c r="M10" s="38" t="s">
        <v>63</v>
      </c>
      <c r="N10" s="38" t="s">
        <v>63</v>
      </c>
      <c r="O10" s="38" t="s">
        <v>63</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row>
    <row r="11" spans="1:209" s="30" customFormat="1" ht="25.5">
      <c r="A11" s="30" t="s">
        <v>399</v>
      </c>
      <c r="B11" s="31" t="s">
        <v>56</v>
      </c>
      <c r="C11" s="33" t="s">
        <v>57</v>
      </c>
      <c r="D11" s="33" t="s">
        <v>241</v>
      </c>
      <c r="E11" s="34">
        <v>39234</v>
      </c>
      <c r="F11" s="34" t="s">
        <v>56</v>
      </c>
      <c r="G11" s="35">
        <v>63000</v>
      </c>
      <c r="H11" s="36" t="s">
        <v>59</v>
      </c>
      <c r="I11" s="37" t="s">
        <v>242</v>
      </c>
      <c r="J11" s="37" t="s">
        <v>243</v>
      </c>
      <c r="K11" s="38" t="s">
        <v>63</v>
      </c>
      <c r="L11" s="38" t="s">
        <v>63</v>
      </c>
      <c r="M11" s="38" t="s">
        <v>63</v>
      </c>
      <c r="N11" s="38" t="s">
        <v>63</v>
      </c>
      <c r="O11" s="38" t="s">
        <v>63</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row>
    <row r="12" spans="1:209" s="30" customFormat="1" ht="25.5">
      <c r="A12" s="30" t="s">
        <v>399</v>
      </c>
      <c r="B12" s="31" t="s">
        <v>56</v>
      </c>
      <c r="C12" s="33" t="s">
        <v>57</v>
      </c>
      <c r="D12" s="33" t="s">
        <v>244</v>
      </c>
      <c r="E12" s="34">
        <v>39234</v>
      </c>
      <c r="F12" s="34">
        <v>40330</v>
      </c>
      <c r="G12" s="35">
        <v>100000</v>
      </c>
      <c r="H12" s="36" t="s">
        <v>168</v>
      </c>
      <c r="I12" s="37" t="s">
        <v>245</v>
      </c>
      <c r="J12" s="37"/>
      <c r="K12" s="38" t="s">
        <v>63</v>
      </c>
      <c r="L12" s="38" t="s">
        <v>63</v>
      </c>
      <c r="M12" s="38" t="s">
        <v>63</v>
      </c>
      <c r="N12" s="38" t="s">
        <v>63</v>
      </c>
      <c r="O12" s="38" t="s">
        <v>63</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row>
    <row r="13" spans="2:209" s="30" customFormat="1" ht="89.25">
      <c r="B13" s="60" t="s">
        <v>246</v>
      </c>
      <c r="C13" s="74" t="s">
        <v>57</v>
      </c>
      <c r="D13" s="74" t="s">
        <v>247</v>
      </c>
      <c r="E13" s="75">
        <v>39234</v>
      </c>
      <c r="F13" s="75" t="s">
        <v>56</v>
      </c>
      <c r="G13" s="76">
        <v>16397600</v>
      </c>
      <c r="H13" s="77" t="s">
        <v>248</v>
      </c>
      <c r="I13" s="78" t="s">
        <v>249</v>
      </c>
      <c r="J13" s="78" t="s">
        <v>250</v>
      </c>
      <c r="K13" s="38"/>
      <c r="L13" s="38"/>
      <c r="M13" s="38"/>
      <c r="N13" s="38"/>
      <c r="O13" s="38"/>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row>
    <row r="14" spans="1:209" s="30" customFormat="1" ht="25.5">
      <c r="A14" s="30" t="s">
        <v>399</v>
      </c>
      <c r="B14" s="42" t="s">
        <v>62</v>
      </c>
      <c r="C14" s="33" t="s">
        <v>18</v>
      </c>
      <c r="D14" s="33" t="s">
        <v>251</v>
      </c>
      <c r="E14" s="34">
        <v>39234</v>
      </c>
      <c r="F14" s="34" t="s">
        <v>56</v>
      </c>
      <c r="G14" s="35">
        <v>3215000</v>
      </c>
      <c r="H14" s="36" t="s">
        <v>252</v>
      </c>
      <c r="I14" s="37" t="s">
        <v>253</v>
      </c>
      <c r="J14" s="37" t="s">
        <v>254</v>
      </c>
      <c r="K14" s="38" t="s">
        <v>63</v>
      </c>
      <c r="L14" s="38" t="s">
        <v>62</v>
      </c>
      <c r="M14" s="38" t="s">
        <v>63</v>
      </c>
      <c r="N14" s="38" t="s">
        <v>63</v>
      </c>
      <c r="O14" s="38" t="s">
        <v>63</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row>
    <row r="15" spans="1:209" s="30" customFormat="1" ht="38.25">
      <c r="A15" s="30" t="s">
        <v>399</v>
      </c>
      <c r="B15" s="42" t="s">
        <v>62</v>
      </c>
      <c r="C15" s="33" t="s">
        <v>8</v>
      </c>
      <c r="D15" s="33" t="s">
        <v>255</v>
      </c>
      <c r="E15" s="34">
        <v>39234</v>
      </c>
      <c r="F15" s="34" t="s">
        <v>56</v>
      </c>
      <c r="G15" s="35">
        <v>1800000</v>
      </c>
      <c r="H15" s="36" t="s">
        <v>100</v>
      </c>
      <c r="I15" s="40" t="s">
        <v>256</v>
      </c>
      <c r="J15" s="37" t="s">
        <v>257</v>
      </c>
      <c r="K15" s="38"/>
      <c r="L15" s="38"/>
      <c r="M15" s="38"/>
      <c r="N15" s="38"/>
      <c r="O15" s="38"/>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row>
    <row r="16" spans="1:209" s="30" customFormat="1" ht="38.25">
      <c r="A16" s="30" t="s">
        <v>399</v>
      </c>
      <c r="B16" s="73" t="s">
        <v>56</v>
      </c>
      <c r="C16" s="33" t="s">
        <v>258</v>
      </c>
      <c r="D16" s="33" t="s">
        <v>259</v>
      </c>
      <c r="E16" s="34">
        <v>39052</v>
      </c>
      <c r="F16" s="34" t="s">
        <v>56</v>
      </c>
      <c r="G16" s="35">
        <v>528600</v>
      </c>
      <c r="H16" s="36" t="s">
        <v>260</v>
      </c>
      <c r="I16" s="37" t="s">
        <v>261</v>
      </c>
      <c r="J16" s="37" t="s">
        <v>262</v>
      </c>
      <c r="K16" s="38" t="s">
        <v>63</v>
      </c>
      <c r="L16" s="38" t="s">
        <v>63</v>
      </c>
      <c r="M16" s="38" t="s">
        <v>63</v>
      </c>
      <c r="N16" s="38" t="s">
        <v>63</v>
      </c>
      <c r="O16" s="38" t="s">
        <v>63</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row>
    <row r="17" spans="1:209" s="30" customFormat="1" ht="25.5">
      <c r="A17" s="30" t="s">
        <v>399</v>
      </c>
      <c r="B17" s="31" t="s">
        <v>56</v>
      </c>
      <c r="C17" s="40" t="s">
        <v>258</v>
      </c>
      <c r="D17" s="33" t="s">
        <v>263</v>
      </c>
      <c r="E17" s="34">
        <v>39234</v>
      </c>
      <c r="F17" s="34" t="s">
        <v>56</v>
      </c>
      <c r="G17" s="35">
        <v>611000</v>
      </c>
      <c r="H17" s="56" t="s">
        <v>264</v>
      </c>
      <c r="I17" s="41" t="s">
        <v>265</v>
      </c>
      <c r="J17" s="37"/>
      <c r="K17" s="38"/>
      <c r="L17" s="38"/>
      <c r="M17" s="38"/>
      <c r="N17" s="38"/>
      <c r="O17" s="38"/>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row>
    <row r="18" spans="1:209" s="30" customFormat="1" ht="38.25">
      <c r="A18" s="30" t="s">
        <v>399</v>
      </c>
      <c r="B18" s="31" t="s">
        <v>56</v>
      </c>
      <c r="C18" s="33" t="s">
        <v>258</v>
      </c>
      <c r="D18" s="33" t="s">
        <v>266</v>
      </c>
      <c r="E18" s="34">
        <v>39234</v>
      </c>
      <c r="F18" s="34" t="s">
        <v>56</v>
      </c>
      <c r="G18" s="35">
        <v>892600</v>
      </c>
      <c r="H18" s="36" t="s">
        <v>267</v>
      </c>
      <c r="I18" s="37" t="s">
        <v>268</v>
      </c>
      <c r="J18" s="37" t="s">
        <v>269</v>
      </c>
      <c r="K18" s="38" t="s">
        <v>63</v>
      </c>
      <c r="L18" s="38" t="s">
        <v>63</v>
      </c>
      <c r="M18" s="38" t="s">
        <v>63</v>
      </c>
      <c r="N18" s="38" t="s">
        <v>63</v>
      </c>
      <c r="O18" s="38" t="s">
        <v>63</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row>
    <row r="19" spans="1:209" s="30" customFormat="1" ht="38.25">
      <c r="A19" s="30" t="s">
        <v>399</v>
      </c>
      <c r="B19" s="60" t="s">
        <v>56</v>
      </c>
      <c r="C19" s="33" t="s">
        <v>16</v>
      </c>
      <c r="D19" s="33" t="s">
        <v>270</v>
      </c>
      <c r="E19" s="34">
        <v>38869</v>
      </c>
      <c r="F19" s="34" t="s">
        <v>56</v>
      </c>
      <c r="G19" s="35">
        <v>75000</v>
      </c>
      <c r="H19" s="36" t="s">
        <v>100</v>
      </c>
      <c r="I19" s="37" t="s">
        <v>271</v>
      </c>
      <c r="J19" s="37" t="s">
        <v>272</v>
      </c>
      <c r="K19" s="38" t="s">
        <v>63</v>
      </c>
      <c r="L19" s="38" t="s">
        <v>63</v>
      </c>
      <c r="M19" s="38" t="s">
        <v>63</v>
      </c>
      <c r="N19" s="38" t="s">
        <v>63</v>
      </c>
      <c r="O19" s="38" t="s">
        <v>62</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row>
    <row r="20" spans="1:209" s="30" customFormat="1" ht="38.25">
      <c r="A20" s="30" t="s">
        <v>399</v>
      </c>
      <c r="B20" s="137" t="s">
        <v>62</v>
      </c>
      <c r="C20" s="33" t="s">
        <v>16</v>
      </c>
      <c r="D20" s="33" t="s">
        <v>273</v>
      </c>
      <c r="E20" s="34">
        <v>38991</v>
      </c>
      <c r="F20" s="34" t="s">
        <v>56</v>
      </c>
      <c r="G20" s="35">
        <v>536000</v>
      </c>
      <c r="H20" s="36" t="s">
        <v>100</v>
      </c>
      <c r="I20" s="37" t="s">
        <v>274</v>
      </c>
      <c r="J20" s="37" t="s">
        <v>275</v>
      </c>
      <c r="K20" s="38" t="s">
        <v>63</v>
      </c>
      <c r="L20" s="38" t="s">
        <v>63</v>
      </c>
      <c r="M20" s="38" t="s">
        <v>63</v>
      </c>
      <c r="N20" s="38" t="s">
        <v>63</v>
      </c>
      <c r="O20" s="38" t="s">
        <v>63</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row>
    <row r="21" spans="1:209" s="30" customFormat="1" ht="25.5">
      <c r="A21" s="30" t="s">
        <v>399</v>
      </c>
      <c r="B21" s="31" t="s">
        <v>56</v>
      </c>
      <c r="C21" s="33" t="s">
        <v>9</v>
      </c>
      <c r="D21" s="33" t="s">
        <v>276</v>
      </c>
      <c r="E21" s="34">
        <v>38869</v>
      </c>
      <c r="F21" s="34" t="s">
        <v>56</v>
      </c>
      <c r="G21" s="54">
        <v>100000</v>
      </c>
      <c r="H21" s="36" t="s">
        <v>59</v>
      </c>
      <c r="I21" s="37" t="s">
        <v>277</v>
      </c>
      <c r="J21" s="37" t="s">
        <v>278</v>
      </c>
      <c r="K21" s="38" t="s">
        <v>63</v>
      </c>
      <c r="L21" s="38" t="s">
        <v>62</v>
      </c>
      <c r="M21" s="38" t="s">
        <v>63</v>
      </c>
      <c r="N21" s="38" t="s">
        <v>63</v>
      </c>
      <c r="O21" s="38" t="s">
        <v>63</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row>
    <row r="22" spans="1:209" s="30" customFormat="1" ht="25.5">
      <c r="A22" s="30" t="s">
        <v>399</v>
      </c>
      <c r="B22" s="42" t="s">
        <v>62</v>
      </c>
      <c r="C22" s="33" t="s">
        <v>9</v>
      </c>
      <c r="D22" s="33" t="s">
        <v>279</v>
      </c>
      <c r="E22" s="34">
        <v>38869</v>
      </c>
      <c r="F22" s="34" t="s">
        <v>56</v>
      </c>
      <c r="G22" s="54">
        <v>1000000</v>
      </c>
      <c r="H22" s="36" t="s">
        <v>280</v>
      </c>
      <c r="I22" s="37" t="s">
        <v>281</v>
      </c>
      <c r="J22" s="37" t="s">
        <v>282</v>
      </c>
      <c r="K22" s="38" t="s">
        <v>62</v>
      </c>
      <c r="L22" s="38" t="s">
        <v>62</v>
      </c>
      <c r="M22" s="38" t="s">
        <v>62</v>
      </c>
      <c r="N22" s="38" t="s">
        <v>63</v>
      </c>
      <c r="O22" s="38" t="s">
        <v>62</v>
      </c>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row>
    <row r="23" spans="1:209" s="30" customFormat="1" ht="38.25">
      <c r="A23" s="30" t="s">
        <v>399</v>
      </c>
      <c r="B23" s="31" t="s">
        <v>56</v>
      </c>
      <c r="C23" s="33" t="s">
        <v>9</v>
      </c>
      <c r="D23" s="33" t="s">
        <v>283</v>
      </c>
      <c r="E23" s="34">
        <v>38869</v>
      </c>
      <c r="F23" s="34" t="s">
        <v>56</v>
      </c>
      <c r="G23" s="54">
        <v>50000</v>
      </c>
      <c r="H23" s="36" t="s">
        <v>100</v>
      </c>
      <c r="I23" s="37" t="s">
        <v>284</v>
      </c>
      <c r="J23" s="37" t="s">
        <v>285</v>
      </c>
      <c r="K23" s="38" t="s">
        <v>62</v>
      </c>
      <c r="L23" s="38" t="s">
        <v>62</v>
      </c>
      <c r="M23" s="38" t="s">
        <v>63</v>
      </c>
      <c r="N23" s="38" t="s">
        <v>63</v>
      </c>
      <c r="O23" s="38" t="s">
        <v>62</v>
      </c>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row>
    <row r="24" spans="1:209" s="30" customFormat="1" ht="25.5">
      <c r="A24" s="30" t="s">
        <v>399</v>
      </c>
      <c r="B24" s="42" t="s">
        <v>62</v>
      </c>
      <c r="C24" s="33" t="s">
        <v>9</v>
      </c>
      <c r="D24" s="33" t="s">
        <v>286</v>
      </c>
      <c r="E24" s="34">
        <v>39263</v>
      </c>
      <c r="F24" s="34" t="s">
        <v>56</v>
      </c>
      <c r="G24" s="54">
        <v>3800000</v>
      </c>
      <c r="H24" s="36" t="s">
        <v>280</v>
      </c>
      <c r="I24" s="37" t="s">
        <v>287</v>
      </c>
      <c r="J24" s="37" t="s">
        <v>282</v>
      </c>
      <c r="K24" s="38" t="s">
        <v>63</v>
      </c>
      <c r="L24" s="38" t="s">
        <v>63</v>
      </c>
      <c r="M24" s="38" t="s">
        <v>63</v>
      </c>
      <c r="N24" s="38" t="s">
        <v>63</v>
      </c>
      <c r="O24" s="38" t="s">
        <v>63</v>
      </c>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row>
    <row r="25" spans="2:209" s="30" customFormat="1" ht="38.25">
      <c r="B25" s="60" t="s">
        <v>246</v>
      </c>
      <c r="C25" s="74" t="s">
        <v>6</v>
      </c>
      <c r="D25" s="74" t="s">
        <v>288</v>
      </c>
      <c r="E25" s="75">
        <v>39234</v>
      </c>
      <c r="F25" s="75" t="s">
        <v>56</v>
      </c>
      <c r="G25" s="80">
        <v>1300000</v>
      </c>
      <c r="H25" s="77" t="s">
        <v>289</v>
      </c>
      <c r="I25" s="78" t="s">
        <v>290</v>
      </c>
      <c r="J25" s="78" t="s">
        <v>291</v>
      </c>
      <c r="K25" s="38"/>
      <c r="L25" s="38"/>
      <c r="M25" s="38"/>
      <c r="N25" s="38"/>
      <c r="O25" s="38"/>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row>
    <row r="26" spans="1:209" s="30" customFormat="1" ht="25.5">
      <c r="A26" s="30" t="s">
        <v>399</v>
      </c>
      <c r="B26" s="73" t="s">
        <v>56</v>
      </c>
      <c r="C26" s="33" t="s">
        <v>114</v>
      </c>
      <c r="D26" s="33" t="s">
        <v>292</v>
      </c>
      <c r="E26" s="34">
        <v>38869</v>
      </c>
      <c r="F26" s="34" t="s">
        <v>56</v>
      </c>
      <c r="G26" s="35">
        <v>2200000</v>
      </c>
      <c r="H26" s="36" t="s">
        <v>221</v>
      </c>
      <c r="I26" s="37" t="s">
        <v>130</v>
      </c>
      <c r="J26" s="37" t="s">
        <v>131</v>
      </c>
      <c r="K26" s="38" t="s">
        <v>63</v>
      </c>
      <c r="L26" s="38" t="s">
        <v>63</v>
      </c>
      <c r="M26" s="38" t="s">
        <v>63</v>
      </c>
      <c r="N26" s="38" t="s">
        <v>63</v>
      </c>
      <c r="O26" s="38" t="s">
        <v>63</v>
      </c>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row>
    <row r="27" spans="1:209" s="30" customFormat="1" ht="25.5">
      <c r="A27" s="30" t="s">
        <v>399</v>
      </c>
      <c r="B27" s="73" t="s">
        <v>56</v>
      </c>
      <c r="C27" s="33" t="s">
        <v>114</v>
      </c>
      <c r="D27" s="33" t="s">
        <v>293</v>
      </c>
      <c r="E27" s="34">
        <v>38869</v>
      </c>
      <c r="F27" s="34" t="s">
        <v>56</v>
      </c>
      <c r="G27" s="35">
        <v>2200000</v>
      </c>
      <c r="H27" s="36" t="s">
        <v>221</v>
      </c>
      <c r="I27" s="37" t="s">
        <v>130</v>
      </c>
      <c r="J27" s="37" t="s">
        <v>131</v>
      </c>
      <c r="K27" s="38" t="s">
        <v>63</v>
      </c>
      <c r="L27" s="38" t="s">
        <v>63</v>
      </c>
      <c r="M27" s="38" t="s">
        <v>63</v>
      </c>
      <c r="N27" s="38" t="s">
        <v>63</v>
      </c>
      <c r="O27" s="38" t="s">
        <v>63</v>
      </c>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row>
    <row r="28" spans="1:209" s="30" customFormat="1" ht="25.5">
      <c r="A28" s="30" t="s">
        <v>399</v>
      </c>
      <c r="B28" s="73" t="s">
        <v>56</v>
      </c>
      <c r="C28" s="33" t="s">
        <v>114</v>
      </c>
      <c r="D28" s="33" t="s">
        <v>294</v>
      </c>
      <c r="E28" s="34">
        <v>38869</v>
      </c>
      <c r="F28" s="34">
        <v>39234</v>
      </c>
      <c r="G28" s="35">
        <v>1250000</v>
      </c>
      <c r="H28" s="36" t="s">
        <v>295</v>
      </c>
      <c r="I28" s="37" t="s">
        <v>296</v>
      </c>
      <c r="J28" s="37" t="s">
        <v>131</v>
      </c>
      <c r="K28" s="38" t="s">
        <v>63</v>
      </c>
      <c r="L28" s="38" t="s">
        <v>63</v>
      </c>
      <c r="M28" s="38" t="s">
        <v>63</v>
      </c>
      <c r="N28" s="38" t="s">
        <v>63</v>
      </c>
      <c r="O28" s="38" t="s">
        <v>63</v>
      </c>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row>
    <row r="29" spans="1:209" s="30" customFormat="1" ht="25.5">
      <c r="A29" s="30" t="s">
        <v>399</v>
      </c>
      <c r="B29" s="73" t="s">
        <v>56</v>
      </c>
      <c r="C29" s="33" t="s">
        <v>114</v>
      </c>
      <c r="D29" s="33" t="s">
        <v>297</v>
      </c>
      <c r="E29" s="34">
        <v>39052</v>
      </c>
      <c r="F29" s="34" t="s">
        <v>56</v>
      </c>
      <c r="G29" s="35">
        <v>2750000</v>
      </c>
      <c r="H29" s="36" t="s">
        <v>221</v>
      </c>
      <c r="I29" s="37" t="s">
        <v>130</v>
      </c>
      <c r="J29" s="37" t="s">
        <v>131</v>
      </c>
      <c r="K29" s="38" t="s">
        <v>63</v>
      </c>
      <c r="L29" s="38" t="s">
        <v>63</v>
      </c>
      <c r="M29" s="38" t="s">
        <v>63</v>
      </c>
      <c r="N29" s="38" t="s">
        <v>63</v>
      </c>
      <c r="O29" s="38" t="s">
        <v>63</v>
      </c>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row>
    <row r="30" spans="1:209" s="30" customFormat="1" ht="25.5">
      <c r="A30" s="30" t="s">
        <v>399</v>
      </c>
      <c r="B30" s="31" t="s">
        <v>56</v>
      </c>
      <c r="C30" s="33" t="s">
        <v>114</v>
      </c>
      <c r="D30" s="33" t="s">
        <v>298</v>
      </c>
      <c r="E30" s="34">
        <v>39234</v>
      </c>
      <c r="F30" s="34" t="s">
        <v>56</v>
      </c>
      <c r="G30" s="35">
        <v>2375000</v>
      </c>
      <c r="H30" s="36" t="s">
        <v>230</v>
      </c>
      <c r="I30" s="37" t="s">
        <v>130</v>
      </c>
      <c r="J30" s="37" t="s">
        <v>131</v>
      </c>
      <c r="K30" s="38" t="s">
        <v>63</v>
      </c>
      <c r="L30" s="38" t="s">
        <v>63</v>
      </c>
      <c r="M30" s="38" t="s">
        <v>63</v>
      </c>
      <c r="N30" s="38" t="s">
        <v>63</v>
      </c>
      <c r="O30" s="38" t="s">
        <v>63</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row>
    <row r="31" spans="1:209" s="30" customFormat="1" ht="25.5">
      <c r="A31" s="30" t="s">
        <v>399</v>
      </c>
      <c r="B31" s="31" t="s">
        <v>56</v>
      </c>
      <c r="C31" s="33" t="s">
        <v>114</v>
      </c>
      <c r="D31" s="33" t="s">
        <v>299</v>
      </c>
      <c r="E31" s="34">
        <v>39417</v>
      </c>
      <c r="F31" s="34" t="s">
        <v>56</v>
      </c>
      <c r="G31" s="35">
        <v>2900000</v>
      </c>
      <c r="H31" s="36" t="s">
        <v>230</v>
      </c>
      <c r="I31" s="37" t="s">
        <v>130</v>
      </c>
      <c r="J31" s="37" t="s">
        <v>131</v>
      </c>
      <c r="K31" s="38" t="s">
        <v>63</v>
      </c>
      <c r="L31" s="38" t="s">
        <v>63</v>
      </c>
      <c r="M31" s="38" t="s">
        <v>63</v>
      </c>
      <c r="N31" s="38" t="s">
        <v>63</v>
      </c>
      <c r="O31" s="38" t="s">
        <v>63</v>
      </c>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row>
    <row r="32" spans="1:209" s="30" customFormat="1" ht="63.75">
      <c r="A32" s="30" t="s">
        <v>399</v>
      </c>
      <c r="B32" s="73" t="s">
        <v>56</v>
      </c>
      <c r="C32" s="33" t="s">
        <v>142</v>
      </c>
      <c r="D32" s="33" t="s">
        <v>300</v>
      </c>
      <c r="E32" s="34">
        <v>38808</v>
      </c>
      <c r="F32" s="34" t="s">
        <v>56</v>
      </c>
      <c r="G32" s="35">
        <v>300000</v>
      </c>
      <c r="H32" s="36" t="s">
        <v>144</v>
      </c>
      <c r="I32" s="37" t="s">
        <v>301</v>
      </c>
      <c r="J32" s="37" t="s">
        <v>302</v>
      </c>
      <c r="K32" s="38" t="s">
        <v>62</v>
      </c>
      <c r="L32" s="38" t="s">
        <v>63</v>
      </c>
      <c r="M32" s="38" t="s">
        <v>63</v>
      </c>
      <c r="N32" s="38" t="s">
        <v>63</v>
      </c>
      <c r="O32" s="38" t="s">
        <v>63</v>
      </c>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row>
    <row r="33" spans="1:209" s="30" customFormat="1" ht="12.75">
      <c r="A33" s="30" t="s">
        <v>399</v>
      </c>
      <c r="B33" s="73" t="s">
        <v>56</v>
      </c>
      <c r="C33" s="33" t="s">
        <v>142</v>
      </c>
      <c r="D33" s="33" t="s">
        <v>303</v>
      </c>
      <c r="E33" s="34">
        <v>38855</v>
      </c>
      <c r="F33" s="34" t="s">
        <v>56</v>
      </c>
      <c r="G33" s="35">
        <v>35000</v>
      </c>
      <c r="H33" s="36" t="s">
        <v>144</v>
      </c>
      <c r="I33" s="37" t="s">
        <v>159</v>
      </c>
      <c r="J33" s="37" t="s">
        <v>304</v>
      </c>
      <c r="K33" s="38" t="s">
        <v>62</v>
      </c>
      <c r="L33" s="38" t="s">
        <v>63</v>
      </c>
      <c r="M33" s="38" t="s">
        <v>63</v>
      </c>
      <c r="N33" s="38" t="s">
        <v>63</v>
      </c>
      <c r="O33" s="38" t="s">
        <v>63</v>
      </c>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row>
    <row r="34" spans="1:209" s="30" customFormat="1" ht="76.5">
      <c r="A34" s="30" t="s">
        <v>399</v>
      </c>
      <c r="B34" s="42" t="s">
        <v>62</v>
      </c>
      <c r="C34" s="33" t="s">
        <v>142</v>
      </c>
      <c r="D34" s="33" t="s">
        <v>305</v>
      </c>
      <c r="E34" s="34">
        <v>38917</v>
      </c>
      <c r="F34" s="34" t="s">
        <v>56</v>
      </c>
      <c r="G34" s="35">
        <v>7224000</v>
      </c>
      <c r="H34" s="36" t="s">
        <v>144</v>
      </c>
      <c r="I34" s="37" t="s">
        <v>306</v>
      </c>
      <c r="J34" s="37" t="s">
        <v>307</v>
      </c>
      <c r="K34" s="38" t="s">
        <v>62</v>
      </c>
      <c r="L34" s="38" t="s">
        <v>62</v>
      </c>
      <c r="M34" s="38" t="s">
        <v>63</v>
      </c>
      <c r="N34" s="38" t="s">
        <v>62</v>
      </c>
      <c r="O34" s="38" t="s">
        <v>63</v>
      </c>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row>
    <row r="35" spans="1:209" s="30" customFormat="1" ht="38.25">
      <c r="A35" s="30" t="s">
        <v>399</v>
      </c>
      <c r="B35" s="42" t="s">
        <v>62</v>
      </c>
      <c r="C35" s="33" t="s">
        <v>142</v>
      </c>
      <c r="D35" s="33" t="s">
        <v>308</v>
      </c>
      <c r="E35" s="34">
        <v>38930</v>
      </c>
      <c r="F35" s="34" t="s">
        <v>56</v>
      </c>
      <c r="G35" s="35">
        <v>1600000</v>
      </c>
      <c r="H35" s="36" t="s">
        <v>309</v>
      </c>
      <c r="I35" s="37" t="s">
        <v>310</v>
      </c>
      <c r="J35" s="37" t="s">
        <v>311</v>
      </c>
      <c r="K35" s="38" t="s">
        <v>63</v>
      </c>
      <c r="L35" s="38" t="s">
        <v>63</v>
      </c>
      <c r="M35" s="38" t="s">
        <v>63</v>
      </c>
      <c r="N35" s="38" t="s">
        <v>62</v>
      </c>
      <c r="O35" s="38" t="s">
        <v>63</v>
      </c>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row>
    <row r="36" spans="1:209" s="30" customFormat="1" ht="25.5">
      <c r="A36" s="30" t="s">
        <v>399</v>
      </c>
      <c r="B36" s="31" t="s">
        <v>56</v>
      </c>
      <c r="C36" s="40" t="s">
        <v>142</v>
      </c>
      <c r="D36" s="33" t="s">
        <v>312</v>
      </c>
      <c r="E36" s="34">
        <v>39082</v>
      </c>
      <c r="F36" s="34" t="s">
        <v>56</v>
      </c>
      <c r="G36" s="35">
        <v>1000000</v>
      </c>
      <c r="H36" s="36" t="s">
        <v>313</v>
      </c>
      <c r="I36" s="41" t="s">
        <v>314</v>
      </c>
      <c r="J36" s="37" t="s">
        <v>315</v>
      </c>
      <c r="K36" s="38" t="s">
        <v>63</v>
      </c>
      <c r="L36" s="38" t="s">
        <v>63</v>
      </c>
      <c r="M36" s="38" t="s">
        <v>63</v>
      </c>
      <c r="N36" s="38" t="s">
        <v>63</v>
      </c>
      <c r="O36" s="38" t="s">
        <v>63</v>
      </c>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row>
    <row r="37" spans="1:209" s="30" customFormat="1" ht="25.5">
      <c r="A37" s="30" t="s">
        <v>399</v>
      </c>
      <c r="B37" s="31" t="s">
        <v>56</v>
      </c>
      <c r="C37" s="40" t="s">
        <v>142</v>
      </c>
      <c r="D37" s="33" t="s">
        <v>316</v>
      </c>
      <c r="E37" s="34">
        <v>39082</v>
      </c>
      <c r="F37" s="34" t="s">
        <v>56</v>
      </c>
      <c r="G37" s="35">
        <v>525000</v>
      </c>
      <c r="H37" s="36" t="s">
        <v>313</v>
      </c>
      <c r="I37" s="41" t="s">
        <v>155</v>
      </c>
      <c r="J37" s="37" t="s">
        <v>317</v>
      </c>
      <c r="K37" s="38" t="s">
        <v>63</v>
      </c>
      <c r="L37" s="38" t="s">
        <v>63</v>
      </c>
      <c r="M37" s="38" t="s">
        <v>63</v>
      </c>
      <c r="N37" s="38" t="s">
        <v>63</v>
      </c>
      <c r="O37" s="38" t="s">
        <v>63</v>
      </c>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row>
    <row r="38" spans="1:209" s="30" customFormat="1" ht="51">
      <c r="A38" s="30" t="s">
        <v>399</v>
      </c>
      <c r="B38" s="73" t="s">
        <v>56</v>
      </c>
      <c r="C38" s="33" t="s">
        <v>142</v>
      </c>
      <c r="D38" s="33" t="s">
        <v>318</v>
      </c>
      <c r="E38" s="34">
        <v>39082</v>
      </c>
      <c r="F38" s="34" t="s">
        <v>56</v>
      </c>
      <c r="G38" s="35">
        <v>2400000</v>
      </c>
      <c r="H38" s="36" t="s">
        <v>319</v>
      </c>
      <c r="I38" s="37" t="s">
        <v>320</v>
      </c>
      <c r="J38" s="37" t="s">
        <v>321</v>
      </c>
      <c r="K38" s="38" t="s">
        <v>63</v>
      </c>
      <c r="L38" s="38" t="s">
        <v>63</v>
      </c>
      <c r="M38" s="38" t="s">
        <v>63</v>
      </c>
      <c r="N38" s="38" t="s">
        <v>63</v>
      </c>
      <c r="O38" s="38" t="s">
        <v>63</v>
      </c>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row>
    <row r="39" spans="1:209" s="30" customFormat="1" ht="25.5">
      <c r="A39" s="30" t="s">
        <v>399</v>
      </c>
      <c r="B39" s="31" t="s">
        <v>56</v>
      </c>
      <c r="C39" s="40" t="s">
        <v>142</v>
      </c>
      <c r="D39" s="33" t="s">
        <v>322</v>
      </c>
      <c r="E39" s="34">
        <v>39234</v>
      </c>
      <c r="F39" s="34">
        <v>39234</v>
      </c>
      <c r="G39" s="35">
        <v>1000000</v>
      </c>
      <c r="H39" s="36" t="s">
        <v>66</v>
      </c>
      <c r="I39" s="41" t="s">
        <v>155</v>
      </c>
      <c r="J39" s="37" t="s">
        <v>323</v>
      </c>
      <c r="K39" s="38" t="s">
        <v>63</v>
      </c>
      <c r="L39" s="38" t="s">
        <v>63</v>
      </c>
      <c r="M39" s="38" t="s">
        <v>63</v>
      </c>
      <c r="N39" s="38" t="s">
        <v>63</v>
      </c>
      <c r="O39" s="38" t="s">
        <v>63</v>
      </c>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row>
    <row r="40" spans="1:209" s="30" customFormat="1" ht="25.5">
      <c r="A40" s="30" t="s">
        <v>399</v>
      </c>
      <c r="B40" s="31" t="s">
        <v>56</v>
      </c>
      <c r="C40" s="40" t="s">
        <v>142</v>
      </c>
      <c r="D40" s="33" t="s">
        <v>324</v>
      </c>
      <c r="E40" s="34">
        <v>39264</v>
      </c>
      <c r="F40" s="34">
        <v>39234</v>
      </c>
      <c r="G40" s="35">
        <v>525000</v>
      </c>
      <c r="H40" s="36" t="s">
        <v>66</v>
      </c>
      <c r="I40" s="41" t="s">
        <v>155</v>
      </c>
      <c r="J40" s="37" t="s">
        <v>325</v>
      </c>
      <c r="K40" s="38" t="s">
        <v>63</v>
      </c>
      <c r="L40" s="38" t="s">
        <v>63</v>
      </c>
      <c r="M40" s="38" t="s">
        <v>63</v>
      </c>
      <c r="N40" s="38" t="s">
        <v>63</v>
      </c>
      <c r="O40" s="38" t="s">
        <v>63</v>
      </c>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row>
    <row r="41" spans="1:28" s="39" customFormat="1" ht="25.5">
      <c r="A41" s="39" t="s">
        <v>399</v>
      </c>
      <c r="B41" s="58" t="s">
        <v>56</v>
      </c>
      <c r="C41" s="40" t="s">
        <v>142</v>
      </c>
      <c r="D41" s="33" t="s">
        <v>326</v>
      </c>
      <c r="E41" s="34" t="s">
        <v>56</v>
      </c>
      <c r="F41" s="34">
        <v>39234</v>
      </c>
      <c r="G41" s="35">
        <v>564000</v>
      </c>
      <c r="H41" s="36" t="s">
        <v>66</v>
      </c>
      <c r="I41" s="41" t="s">
        <v>327</v>
      </c>
      <c r="J41" s="37" t="s">
        <v>328</v>
      </c>
      <c r="K41" s="38" t="s">
        <v>63</v>
      </c>
      <c r="L41" s="38" t="s">
        <v>63</v>
      </c>
      <c r="M41" s="38" t="s">
        <v>63</v>
      </c>
      <c r="N41" s="38" t="s">
        <v>63</v>
      </c>
      <c r="O41" s="38" t="s">
        <v>63</v>
      </c>
      <c r="P41" s="30"/>
      <c r="Q41" s="30"/>
      <c r="R41" s="30"/>
      <c r="S41" s="30"/>
      <c r="T41" s="30"/>
      <c r="U41" s="30"/>
      <c r="V41" s="30"/>
      <c r="W41" s="30"/>
      <c r="X41" s="30"/>
      <c r="Y41" s="30"/>
      <c r="Z41" s="30"/>
      <c r="AA41" s="30"/>
      <c r="AB41" s="30"/>
    </row>
    <row r="42" spans="2:28" s="39" customFormat="1" ht="12.75">
      <c r="B42" s="59" t="s">
        <v>246</v>
      </c>
      <c r="C42" s="81" t="s">
        <v>142</v>
      </c>
      <c r="D42" s="74" t="s">
        <v>329</v>
      </c>
      <c r="E42" s="75">
        <v>40360</v>
      </c>
      <c r="F42" s="75">
        <v>40360</v>
      </c>
      <c r="G42" s="76">
        <v>1200000</v>
      </c>
      <c r="H42" s="82" t="s">
        <v>330</v>
      </c>
      <c r="I42" s="78" t="s">
        <v>331</v>
      </c>
      <c r="J42" s="78" t="s">
        <v>332</v>
      </c>
      <c r="K42" s="83"/>
      <c r="L42" s="83"/>
      <c r="M42" s="83"/>
      <c r="N42" s="83"/>
      <c r="O42" s="83"/>
      <c r="P42" s="30"/>
      <c r="Q42" s="30"/>
      <c r="R42" s="30"/>
      <c r="S42" s="30"/>
      <c r="T42" s="30"/>
      <c r="U42" s="30"/>
      <c r="V42" s="30"/>
      <c r="W42" s="30"/>
      <c r="X42" s="30"/>
      <c r="Y42" s="30"/>
      <c r="Z42" s="30"/>
      <c r="AA42" s="30"/>
      <c r="AB42" s="30"/>
    </row>
    <row r="43" spans="2:28" s="39" customFormat="1" ht="25.5">
      <c r="B43" s="58" t="s">
        <v>56</v>
      </c>
      <c r="C43" s="81" t="s">
        <v>10</v>
      </c>
      <c r="D43" s="74" t="s">
        <v>333</v>
      </c>
      <c r="E43" s="75" t="s">
        <v>56</v>
      </c>
      <c r="F43" s="75">
        <v>42156</v>
      </c>
      <c r="G43" s="76">
        <v>90000</v>
      </c>
      <c r="H43" s="82" t="s">
        <v>334</v>
      </c>
      <c r="I43" s="78" t="s">
        <v>335</v>
      </c>
      <c r="J43" s="78" t="s">
        <v>336</v>
      </c>
      <c r="K43" s="83"/>
      <c r="L43" s="83"/>
      <c r="M43" s="83"/>
      <c r="N43" s="83"/>
      <c r="O43" s="83"/>
      <c r="P43" s="30"/>
      <c r="Q43" s="30"/>
      <c r="R43" s="30"/>
      <c r="S43" s="30"/>
      <c r="T43" s="30"/>
      <c r="U43" s="30"/>
      <c r="V43" s="30"/>
      <c r="W43" s="30"/>
      <c r="X43" s="30"/>
      <c r="Y43" s="30"/>
      <c r="Z43" s="30"/>
      <c r="AA43" s="30"/>
      <c r="AB43" s="30"/>
    </row>
    <row r="45" spans="6:7" ht="12.75">
      <c r="F45" s="10" t="s">
        <v>203</v>
      </c>
      <c r="G45" s="84">
        <f>SUM(G5:G12,G14:G24,G26:G41)</f>
        <v>50532425</v>
      </c>
    </row>
    <row r="57" ht="12.75">
      <c r="G57" s="84"/>
    </row>
  </sheetData>
  <autoFilter ref="A4:HA43"/>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ccc1103</dc:creator>
  <cp:keywords/>
  <dc:description/>
  <cp:lastModifiedBy>jss0805</cp:lastModifiedBy>
  <dcterms:created xsi:type="dcterms:W3CDTF">2006-12-20T20:29:53Z</dcterms:created>
  <dcterms:modified xsi:type="dcterms:W3CDTF">2008-04-04T20:13:37Z</dcterms:modified>
  <cp:category/>
  <cp:version/>
  <cp:contentType/>
  <cp:contentStatus/>
</cp:coreProperties>
</file>